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180" windowWidth="15255" windowHeight="7905" activeTab="0"/>
  </bookViews>
  <sheets>
    <sheet name="Ajuda" sheetId="1" r:id="rId1"/>
    <sheet name="Simular IRS 2014" sheetId="2" r:id="rId2"/>
    <sheet name="Disclaimer" sheetId="3" r:id="rId3"/>
    <sheet name="Informação" sheetId="4" r:id="rId4"/>
    <sheet name="BIG SIMULATOR" sheetId="5" state="veryHidden" r:id="rId5"/>
  </sheets>
  <definedNames>
    <definedName name="_xlfn.IFERROR" hidden="1">#NAME?</definedName>
    <definedName name="Calculo">'Simular IRS 2014'!$54:$66</definedName>
    <definedName name="Campos_clear">'Simular IRS 2014'!$F$14,'Simular IRS 2014'!$I$14,'Simular IRS 2014'!$F$16,'Simular IRS 2014'!$I$16,'Simular IRS 2014'!$F$19,'Simular IRS 2014'!$I$19,'Simular IRS 2014'!$G$24,'Simular IRS 2014'!$G$26,'Simular IRS 2014'!$G$27,'Simular IRS 2014'!$G$30,'Simular IRS 2014'!$G$31,'Simular IRS 2014'!$G$33,'Simular IRS 2014'!$G$35,'Simular IRS 2014'!$G$36,'Simular IRS 2014'!$G$39,'Simular IRS 2014'!$G$42,'Simular IRS 2014'!$G$43,'Simular IRS 2014'!$G$45</definedName>
    <definedName name="cells_SujB">'Simular IRS 2014'!$I$14,'Simular IRS 2014'!$I$16,'Simular IRS 2014'!$I$19</definedName>
    <definedName name="Despesas">'Simular IRS 2014'!$23:$47</definedName>
    <definedName name="Informação_Pessoal">'Simular IRS 2014'!$7:$11</definedName>
    <definedName name="PPR_B">'Simular IRS 2014'!$43:$43</definedName>
    <definedName name="_xlnm.Print_Area" localSheetId="0">'Ajuda'!$B$1:$E$99</definedName>
    <definedName name="_xlnm.Print_Area" localSheetId="4">'BIG SIMULATOR'!$A$11:$I$92</definedName>
    <definedName name="_xlnm.Print_Area" localSheetId="2">'Disclaimer'!$C$4:$M$48</definedName>
    <definedName name="_xlnm.Print_Area" localSheetId="3">'Informação'!$A$4:$G$70</definedName>
    <definedName name="_xlnm.Print_Area" localSheetId="1">'Simular IRS 2014'!$A$49:$L$73</definedName>
    <definedName name="_xlnm.Print_Titles" localSheetId="1">'Simular IRS 2014'!$1:$4</definedName>
    <definedName name="Rendimentos">'Simular IRS 2014'!$13:$21</definedName>
    <definedName name="SujeitoB">'Simular IRS 2014'!$I:$I</definedName>
    <definedName name="Z_3C8D6C04_D0B9_42A9_BB67_2D57FFC3AA10_.wvu.PrintArea" localSheetId="0" hidden="1">'Ajuda'!$C$3:$M$65</definedName>
    <definedName name="Z_3C8D6C04_D0B9_42A9_BB67_2D57FFC3AA10_.wvu.PrintArea" localSheetId="2" hidden="1">'Disclaimer'!$C$4:$M$48</definedName>
    <definedName name="Z_3C8D6C04_D0B9_42A9_BB67_2D57FFC3AA10_.wvu.PrintArea" localSheetId="3" hidden="1">'Informação'!$A$4:$G$70</definedName>
    <definedName name="Z_3C8D6C04_D0B9_42A9_BB67_2D57FFC3AA10_.wvu.PrintArea" localSheetId="1" hidden="1">'Simular IRS 2014'!$B$5:$M$50</definedName>
    <definedName name="Z_3C8D6C04_D0B9_42A9_BB67_2D57FFC3AA10_.wvu.Rows" localSheetId="1" hidden="1">'Simular IRS 2014'!$B$48:$IR$48</definedName>
  </definedNames>
  <calcPr fullCalcOnLoad="1"/>
</workbook>
</file>

<file path=xl/sharedStrings.xml><?xml version="1.0" encoding="utf-8"?>
<sst xmlns="http://schemas.openxmlformats.org/spreadsheetml/2006/main" count="391" uniqueCount="265">
  <si>
    <t>Diferença</t>
  </si>
  <si>
    <t xml:space="preserve">        Deduções pessoais </t>
  </si>
  <si>
    <t>IRS antes de deduções (1)</t>
  </si>
  <si>
    <t>Rendimento líquido de IRS</t>
  </si>
  <si>
    <t xml:space="preserve">        Deduções coleta</t>
  </si>
  <si>
    <t xml:space="preserve">        Deduções com benefícios fiscais</t>
  </si>
  <si>
    <t>Taxa efetiva</t>
  </si>
  <si>
    <t>Estado civil</t>
  </si>
  <si>
    <r>
      <t xml:space="preserve">Nº de dependentes com ≤ 3 anos </t>
    </r>
    <r>
      <rPr>
        <sz val="8"/>
        <color indexed="8"/>
        <rFont val="Georgia"/>
        <family val="1"/>
      </rPr>
      <t>(a 31 de Dezembro de 2013)</t>
    </r>
  </si>
  <si>
    <r>
      <t xml:space="preserve">Nº de dependentes com &gt; 3 anos </t>
    </r>
    <r>
      <rPr>
        <sz val="8"/>
        <color indexed="8"/>
        <rFont val="Georgia"/>
        <family val="1"/>
      </rPr>
      <t>(a 31 de Dezembro de 2013)</t>
    </r>
  </si>
  <si>
    <t>PENSÕES</t>
  </si>
  <si>
    <t xml:space="preserve">Pensões </t>
  </si>
  <si>
    <t>DEDUÇÕES À COLECTA</t>
  </si>
  <si>
    <t xml:space="preserve">Despesas de saúde </t>
  </si>
  <si>
    <t>Despesas de educação</t>
  </si>
  <si>
    <t xml:space="preserve">  Nº de dependentes com despesas de educação</t>
  </si>
  <si>
    <t>Despesas com imóveis</t>
  </si>
  <si>
    <t>Despesas com rendas</t>
  </si>
  <si>
    <t>Encargos com pensões de alimentos</t>
  </si>
  <si>
    <t xml:space="preserve">  Nº de beneficiários (preenchimento obrigatório)</t>
  </si>
  <si>
    <t>Seguros de saúde</t>
  </si>
  <si>
    <t>Contribuições para Planos Poupança Reforma (PPR's)</t>
  </si>
  <si>
    <t>Encargos com donativos</t>
  </si>
  <si>
    <t>Rendimento bruto</t>
  </si>
  <si>
    <t>Deduções à coleta (3)</t>
  </si>
  <si>
    <t xml:space="preserve"> Imposto final    (1)+(2)+(3)+(4)</t>
  </si>
  <si>
    <t xml:space="preserve">Simulador de IRS para rendimentos obtidos no ano de 2014 </t>
  </si>
  <si>
    <t>(a declarar no ano de 2015)</t>
  </si>
  <si>
    <t>●  10% das despesas de saúde não reembolsadas sujeitas a IVA à taxa de 23%, suportadas por receita médica, com limite de 65 Euros ou 2.5% das despesas referidas acima, se superior;</t>
  </si>
  <si>
    <t>●  30% das despesas de educação e formação, com o limite de 760 Euros;</t>
  </si>
  <si>
    <t>●  Este limite é elevado em 142,50 Euros, por cada dependente, desde que o número de filhos dependentes seja de três ou mais e existam, relativamente a todos eles, despesas de educação ou formação.</t>
  </si>
  <si>
    <t>●  20% dos encargos com pensões de alimentos, desde que resultantes de sentença judicial ou acordo judicialmente homologado,com o limite de 419,22 Euros por mês e por beneficiário.</t>
  </si>
  <si>
    <t>●  10% dos prémios pagos, com os limites de 50 Euros para sujeitos passivos não casados ou separados judicialmente e de 100 Euros para casais;</t>
  </si>
  <si>
    <t>●  Estes limites são elevados em 25 Euros por cada filho dependente.</t>
  </si>
  <si>
    <t xml:space="preserve"> ● As deduções à colecta incluem: despesas de saúde, educação e formação, encargos com lares, encargos com imóveis e pensões de alimentos;</t>
  </si>
  <si>
    <t xml:space="preserve"> ● As deduções com benefícios fiscais incluem: seguros de saúde, PPR's, encargos com donativos.</t>
  </si>
  <si>
    <t>Disclaimers</t>
  </si>
  <si>
    <t>As simulações de imposto encontram-se limitadas às categorias de rendimentos e despesas incluídas no simulador.</t>
  </si>
  <si>
    <t>Trabalho dependente</t>
  </si>
  <si>
    <t>Planos de Poupança-Reforma</t>
  </si>
  <si>
    <t>Após a data de passagem à reforma as contribuições para planos de poupança-reforma deixam de ser dedutíveis à colecta, pelo que se auferir pensões de reforma ou velhice, não deverá indicar essas contribuições no simulador.</t>
  </si>
  <si>
    <t>A majoração por número de dependentes pressupõe que o seguro cobre tanto o sujeito(s) passivo(s) como todos os seus dependentes (se aplicável).</t>
  </si>
  <si>
    <t>Despesas de sáude</t>
  </si>
  <si>
    <t>Assume-se que o valor de despesas de saúde introduzidas se referem integralmente a despesas isentas de IVA ou 
sujeitas à taxa reduzida de IVA.</t>
  </si>
  <si>
    <t>Ajuda na execução das macros</t>
  </si>
  <si>
    <t>Passo 1</t>
  </si>
  <si>
    <t>Informação pessoal</t>
  </si>
  <si>
    <t>Rendimentos</t>
  </si>
  <si>
    <t>Passo 2</t>
  </si>
  <si>
    <t>Rendimento do trabalho dependente</t>
  </si>
  <si>
    <t>Pensões</t>
  </si>
  <si>
    <t>Sujeito passivo A</t>
  </si>
  <si>
    <t>Sujeito passivo B</t>
  </si>
  <si>
    <t>Passo 3</t>
  </si>
  <si>
    <t>Deduções à coleta do IRS e benefícios fiscais</t>
  </si>
  <si>
    <t>Deduções
à coleta</t>
  </si>
  <si>
    <t>Benefícios fiscais</t>
  </si>
  <si>
    <t>Despesas de saúde</t>
  </si>
  <si>
    <t>Encargos com imóveis e rendas</t>
  </si>
  <si>
    <t>Despesas com pensões de alimentos e similares</t>
  </si>
  <si>
    <t>Despesas com lares</t>
  </si>
  <si>
    <t>Despesas com prémios de seguros de saúde</t>
  </si>
  <si>
    <t>Contribuições para Planos Poupança Reforma (PPR)</t>
  </si>
  <si>
    <r>
      <t xml:space="preserve">            </t>
    </r>
    <r>
      <rPr>
        <sz val="10"/>
        <rFont val="Wingdings"/>
        <family val="0"/>
      </rPr>
      <t></t>
    </r>
    <r>
      <rPr>
        <sz val="10"/>
        <rFont val="Georgia"/>
        <family val="1"/>
      </rPr>
      <t xml:space="preserve"> 400 Euros por sujeito passivo com idade inferior a 35 anos;                                  </t>
    </r>
  </si>
  <si>
    <r>
      <t xml:space="preserve">            </t>
    </r>
    <r>
      <rPr>
        <sz val="10"/>
        <rFont val="Wingdings"/>
        <family val="0"/>
      </rPr>
      <t></t>
    </r>
    <r>
      <rPr>
        <sz val="10"/>
        <rFont val="Georgia"/>
        <family val="1"/>
      </rPr>
      <t xml:space="preserve"> 350 Euros por sujeito passivo com idade compreendida entre os 35 e os 50 anos;                                                                        </t>
    </r>
  </si>
  <si>
    <r>
      <rPr>
        <b/>
        <sz val="11"/>
        <rFont val="Georgia"/>
        <family val="1"/>
      </rPr>
      <t>Simulador não prevê as seguintes situações:</t>
    </r>
    <r>
      <rPr>
        <sz val="11"/>
        <rFont val="Georgia"/>
        <family val="1"/>
      </rPr>
      <t xml:space="preserve">
Residentes fiscais nos Açores;
Sujeitos passivos deficientes;
Agregados Familiares em que os dependentes aufiram rendimentos;
Sujeitos passivos separados de facto para efeitos fiscais.</t>
    </r>
  </si>
  <si>
    <r>
      <rPr>
        <b/>
        <sz val="11"/>
        <rFont val="Georgia"/>
        <family val="1"/>
      </rPr>
      <t>Pressupostos da estimativa de imposto:</t>
    </r>
    <r>
      <rPr>
        <sz val="11"/>
        <rFont val="Georgia"/>
        <family val="1"/>
      </rPr>
      <t xml:space="preserve">
Dependentes não se encontram em guarda partilhada;
Circunstâncias do agregado mantêm-se iguais para os dois anos (2013 e 2014).</t>
    </r>
  </si>
  <si>
    <t>Como dedução específica aos rendimentos do trabalho dependente, apenas se encontram previstas as contribuições obrigatórias para regimes de proteção social e para subsistemas legais de saúde. Assume, a taxa de contribuições para a Segurança Social ou outros regimes à taxa de 11%.</t>
  </si>
  <si>
    <t>Simulador apenas estima valor de Contribuição Extraordinária de Solidariedade a aplicar em 2013 e 2014;
Não se encontram previstas situações de convergência da Caixa Geral de Aposentações com as pensões pagas pelo Centro Nacional de Pensões, nem as reduções previstas para 2014 nas pensões de sobrevivência.</t>
  </si>
  <si>
    <t>Deduções à coleta</t>
  </si>
  <si>
    <t>Assume-se por defeito uma majoração de 130%, sem qualquer limitação, dos encargos com donativos. No entanto, nota-se que a percentagem de majoração do encargo dependerá da natureza da entidade beneficiária do mesmo (esta majoração poderá variar entre 120% e 140%).</t>
  </si>
  <si>
    <t>10% das seguintes despesas de saúde:</t>
  </si>
  <si>
    <t>● 10% das despesas de saúde isentas de IVA ou sujeitas à taxa reduzida de 6%;</t>
  </si>
  <si>
    <t>● 10% das despesas incorridas pelos ascendentes e colaterais até ao 3º grau do sujeito passivo, desde que estes tenham um rendimento inferior ao salário mínimo nacional 
(485 Euros por mês) e juros de dívidas contraídas para o pagamento das referidas despesas;</t>
  </si>
  <si>
    <t>● O total das deduções acima mencionadas não pode ultrapassar o limite de 838,44 Euros, exceto nos agregados com três ou mais dependentes em que o referido limite é elevado em 125,77 Euros por cada dependente, desde que todos tenham despesas de saúde.</t>
  </si>
  <si>
    <t>●  15% dos juros de empréstimos contraídos até 31 de dezembro de 2011 para aquisição, construção ou beneficiação de habitação própria e permanente, com o limite de 296 Euros; O referido limite é majorado em 50% e 20% para sujeitos passivos com rendimento colectável até 7.000 Euros e no intervalo de 7.000 Euros até 20.000 Euros, respetivamente.</t>
  </si>
  <si>
    <t>●  15% das rendas pagas ao abrigo do Regime do Arrendamento Urbano (RAU) para habitação permanente, com limite de 414 Euros; O primeiro limite é majorado em 50% e 20% para sujeitos passivos com rendimento coletável até 7.000 Euros e no intervalo de 7.000 Euros até 20.000 Euros.</t>
  </si>
  <si>
    <t xml:space="preserve">●  25% das despesas com lares de terceira idade relativas aos sujeitos passivos, seus ascendentes e colaterais até ao 3º grau que não possuam rendimentos superiores ao salário mínimo nacional (485 Euros por mês) com o limite de 403,75 Euros.  </t>
  </si>
  <si>
    <t>●  25% dos donativos destinados a igrejas, instituiçoes religiosas, instituições de caridade, museus, escolas, bibliotecas e outras entidades de cariz social, cultural ou científico reconhecidas pelo Estado, até ao limite de 15% da coleta.</t>
  </si>
  <si>
    <t xml:space="preserve">●  20% dos valores aplicados no respetivo ano por sujeito passivo, com o limite máximo:                              
</t>
  </si>
  <si>
    <r>
      <t xml:space="preserve">            </t>
    </r>
    <r>
      <rPr>
        <sz val="10"/>
        <rFont val="Wingdings"/>
        <family val="0"/>
      </rPr>
      <t></t>
    </r>
    <r>
      <rPr>
        <sz val="10"/>
        <rFont val="Georgia"/>
        <family val="1"/>
      </rPr>
      <t xml:space="preserve"> 300 Euros por sujeito passivo com idade inferior a 50 anos.                                                                     </t>
    </r>
  </si>
  <si>
    <t>Limite à soma das deduções à coleta</t>
  </si>
  <si>
    <t xml:space="preserve">Rendimento coletável situado no 1º escalão                   Sem Limite
</t>
  </si>
  <si>
    <t xml:space="preserve">Rendimento coletável situado no 2º escalão                   1.250 Euros
</t>
  </si>
  <si>
    <t xml:space="preserve">Rendimento coletável situado no 3º escalão                   1.000 Euros
</t>
  </si>
  <si>
    <t xml:space="preserve">Rendimento coletável situado no 4º escalão                   500 Euros
</t>
  </si>
  <si>
    <t xml:space="preserve">Rendimento colectável situado no 5º escalão                   0 Euros
</t>
  </si>
  <si>
    <t xml:space="preserve"> ● Estes limites são majorados em 10% por cada dependente ou afilhado civil que não seja sujeito passivo de IRS.</t>
  </si>
  <si>
    <t>Limite dos benefícios fiscais dedutíveis à coleta</t>
  </si>
  <si>
    <t xml:space="preserve">Rendimento coletável situado no 2º escalão                   100 Euros
</t>
  </si>
  <si>
    <t xml:space="preserve">Rendimento coletável situado no 3º escalão                   80 Euros
</t>
  </si>
  <si>
    <t xml:space="preserve">Rendimento coletável situado no 4º escalão                   60 Euros
</t>
  </si>
  <si>
    <t xml:space="preserve">Rendimento coletável situado no 5º escalão                   0 Euros
</t>
  </si>
  <si>
    <t>Rendimento do trabalho dependente -Privado</t>
  </si>
  <si>
    <t>Rendimento do trabalho dependente -  Público (antes de cortes 2013)</t>
  </si>
  <si>
    <t>Juros</t>
  </si>
  <si>
    <t>SujeitoPassivo A</t>
  </si>
  <si>
    <t>SujeitoPassivo B</t>
  </si>
  <si>
    <t>ANO 2014</t>
  </si>
  <si>
    <t>Estado Civil</t>
  </si>
  <si>
    <t>Casado / Unido de facto</t>
  </si>
  <si>
    <t>Solteiro / Viúvo / Divorciado</t>
  </si>
  <si>
    <t>2013/2014</t>
  </si>
  <si>
    <t>Continente</t>
  </si>
  <si>
    <t>Número de Filhos</t>
  </si>
  <si>
    <t>Rendimento colectável</t>
  </si>
  <si>
    <t>Taxa</t>
  </si>
  <si>
    <t>Parcela a abater</t>
  </si>
  <si>
    <t>Limite das deduções à colecta</t>
  </si>
  <si>
    <t>Limite do BF</t>
  </si>
  <si>
    <t>SOBRETAXA 2013</t>
  </si>
  <si>
    <t>CES</t>
  </si>
  <si>
    <t>Minimo</t>
  </si>
  <si>
    <t>Máximo</t>
  </si>
  <si>
    <t>DESCRIÇÃO - ANUAL</t>
  </si>
  <si>
    <t>Euros</t>
  </si>
  <si>
    <t>Para pensões superiores a 5,030.64 €</t>
  </si>
  <si>
    <t>Pensão bruta mensal</t>
  </si>
  <si>
    <t xml:space="preserve">Parcela </t>
  </si>
  <si>
    <t>(Euros)</t>
  </si>
  <si>
    <t>(%)</t>
  </si>
  <si>
    <t>Abater</t>
  </si>
  <si>
    <t>DESCRIÇÃO</t>
  </si>
  <si>
    <t>RENDIMENTO BRUTO</t>
  </si>
  <si>
    <t>De</t>
  </si>
  <si>
    <t>Até</t>
  </si>
  <si>
    <t xml:space="preserve">TOTAL </t>
  </si>
  <si>
    <t>DEDUÇÕES ESPECÍFICAS</t>
  </si>
  <si>
    <t>TRABALHO DEPENDENTE - PRIVADO</t>
  </si>
  <si>
    <t>TRABALHO DEPENDENTE - FUNÇÃO PUBLICA</t>
  </si>
  <si>
    <t>TRABALHO INDEPENDENTE</t>
  </si>
  <si>
    <t>PENSÕES DE VELHIÇE</t>
  </si>
  <si>
    <t>RENDIMENTO LÍQUIDO/COLECTÁVEL</t>
  </si>
  <si>
    <t>PENSÕES DE SOBREVIVÊNCIA</t>
  </si>
  <si>
    <t>RMMG (485 x 14 )</t>
  </si>
  <si>
    <t>2013 e 2014</t>
  </si>
  <si>
    <t>RENDIMENTO PARA EFEITOS DE SOBRETAXA</t>
  </si>
  <si>
    <t>Para pensões superiores a 1,350.00 €</t>
  </si>
  <si>
    <t>SOBRETAXA A PAGAR (3.5%)</t>
  </si>
  <si>
    <t>DEDUÇÃO À COLECTA POR FILHOS</t>
  </si>
  <si>
    <t>TOTAL</t>
  </si>
  <si>
    <t>TOTAL A PAGAR</t>
  </si>
  <si>
    <t>CÁLCULO DO IMPOSTO:</t>
  </si>
  <si>
    <t xml:space="preserve">    COEFICIENTE CONJUGAL</t>
  </si>
  <si>
    <t xml:space="preserve">    TAXA A APLICAR</t>
  </si>
  <si>
    <t>SOBRETAXA 2014</t>
  </si>
  <si>
    <t xml:space="preserve">    PARCELA A ABATER</t>
  </si>
  <si>
    <t xml:space="preserve">     SUB-TOTAL</t>
  </si>
  <si>
    <t xml:space="preserve">COLECTA LÍQUIDA </t>
  </si>
  <si>
    <t>DEDUÇÕES PESSOAIS</t>
  </si>
  <si>
    <t>DESPESAS DE SAÚDE</t>
  </si>
  <si>
    <t>DESPESAS DE EDUCAÇÃO</t>
  </si>
  <si>
    <t>ENCARGOS COM IMÓVEIS</t>
  </si>
  <si>
    <t>RENDAS</t>
  </si>
  <si>
    <t>PENSÃO DE ALIMENTOS</t>
  </si>
  <si>
    <t>Limite Dedução Rendas 2013</t>
  </si>
  <si>
    <t>Limite Dedução Rendas 2014</t>
  </si>
  <si>
    <t>TOTAL (SAUDE; EDUCAÇÃO; IMOVEIS; RENDAS; PENSÕES DE ALIMENTOS)</t>
  </si>
  <si>
    <t>LIMITE OU SOMA</t>
  </si>
  <si>
    <t>SEGUROS DE SAÚDE</t>
  </si>
  <si>
    <t>CONTRIBUIÇÕES PARA PPR</t>
  </si>
  <si>
    <t>Limite Dedução Juros 2013</t>
  </si>
  <si>
    <t>ENCARGOS COM DONATIVOS</t>
  </si>
  <si>
    <t>TOTAL (EBF)</t>
  </si>
  <si>
    <t>TOTAL DAS DEDUÇÕES</t>
  </si>
  <si>
    <t>TAXA ADICIONAL DE SOLIDARIEDADE</t>
  </si>
  <si>
    <t>IMPOSTO APURADO</t>
  </si>
  <si>
    <t>Escalões</t>
  </si>
  <si>
    <t>Parcela</t>
  </si>
  <si>
    <t>SOBRETAXA</t>
  </si>
  <si>
    <t>N/A</t>
  </si>
  <si>
    <t>TAXA DE SOLIDARIEDADE</t>
  </si>
  <si>
    <t>VALOR FINAL</t>
  </si>
  <si>
    <t>TAXA EFECTIVA ANTES DAS DEDUÇÕES</t>
  </si>
  <si>
    <t>TAXA EFECTIVA</t>
  </si>
  <si>
    <t>CES SOBRE AS PENSÕES</t>
  </si>
  <si>
    <t>RENDIMENTO LÍQUIDO</t>
  </si>
  <si>
    <t>DEDUÇÕES À COLETA</t>
  </si>
  <si>
    <t>RENDIMENTO</t>
  </si>
  <si>
    <t>Sujeito Passivo A</t>
  </si>
  <si>
    <t>Sujeito Passivo B</t>
  </si>
  <si>
    <t>Privado</t>
  </si>
  <si>
    <t>Estado Civil: Solteiro (1), Casado (2)</t>
  </si>
  <si>
    <t>&lt;=3</t>
  </si>
  <si>
    <t>0</t>
  </si>
  <si>
    <t>Encargos com imóveis</t>
  </si>
  <si>
    <t>Função Publica</t>
  </si>
  <si>
    <t>&gt;3</t>
  </si>
  <si>
    <t>Rendas</t>
  </si>
  <si>
    <t>Nº de dependentes*:</t>
  </si>
  <si>
    <t>Pensão de alimentos</t>
  </si>
  <si>
    <t>REG. SIMPL (SERVIÇOS)</t>
  </si>
  <si>
    <t>Nº de dependentes Educação</t>
  </si>
  <si>
    <t>Nº de beneficiários</t>
  </si>
  <si>
    <t>PPR A</t>
  </si>
  <si>
    <t>REG. SIMPL (VENDAS)</t>
  </si>
  <si>
    <t>PPR B</t>
  </si>
  <si>
    <t>Donativos</t>
  </si>
  <si>
    <t>CONT. ORG.</t>
  </si>
  <si>
    <t>PENSÕES VELHICE</t>
  </si>
  <si>
    <t>PENSÕES SOBREVIVENCIA</t>
  </si>
  <si>
    <t>Trabalho Dependente - Privado</t>
  </si>
  <si>
    <t>Rendimento do trabalho dependente do sujeito passivo A</t>
  </si>
  <si>
    <t>Contribuições obrigatórias para a SS</t>
  </si>
  <si>
    <t>Dedução mínima prevista para rendimentos da categoria</t>
  </si>
  <si>
    <t>Dedução aplicável</t>
  </si>
  <si>
    <t>Rendimento do trabalho dependente do sujeito passivo B</t>
  </si>
  <si>
    <t>TOTAL SP A+B</t>
  </si>
  <si>
    <t>RENDIMENTO BRUTO DA CATEGORIA</t>
  </si>
  <si>
    <t xml:space="preserve">DEDUÇÃO ESPECÍFICA AOS REND. CATEGORIA </t>
  </si>
  <si>
    <t>Trabalho Dependente - FP</t>
  </si>
  <si>
    <t>Rendimento estimado</t>
  </si>
  <si>
    <t>A</t>
  </si>
  <si>
    <t>Corte</t>
  </si>
  <si>
    <t>B</t>
  </si>
  <si>
    <t>Rendimento depois de corte</t>
  </si>
  <si>
    <t>C</t>
  </si>
  <si>
    <t>Contribuições estimadas para a SS</t>
  </si>
  <si>
    <t>D</t>
  </si>
  <si>
    <t>E</t>
  </si>
  <si>
    <t>F</t>
  </si>
  <si>
    <t>Rendimento antes de corte</t>
  </si>
  <si>
    <t>Trabalho Independente</t>
  </si>
  <si>
    <t>Regime Simplificado</t>
  </si>
  <si>
    <t>Vendas  (20%)</t>
  </si>
  <si>
    <t>Prestação de Serviços  (75%)</t>
  </si>
  <si>
    <t>Contabilidade Organizada</t>
  </si>
  <si>
    <t>Rendimento Líquido</t>
  </si>
  <si>
    <t>Prestação de Serviços  (70%)</t>
  </si>
  <si>
    <t>RENDIMENTO BRUTO DA CATEGORIA B</t>
  </si>
  <si>
    <t>Pensões de velhice</t>
  </si>
  <si>
    <t>Pensões de sobrevivência</t>
  </si>
  <si>
    <t>Corte na pensão de sobrevivência</t>
  </si>
  <si>
    <t>FORMULAR</t>
  </si>
  <si>
    <t>Total de Pensões</t>
  </si>
  <si>
    <t>Dedução Específica</t>
  </si>
  <si>
    <t>Dedução Específica ou CES (se superior)</t>
  </si>
  <si>
    <t>Sujeito A</t>
  </si>
  <si>
    <t>Sujeito B</t>
  </si>
  <si>
    <t>CES MENSAL 2013</t>
  </si>
  <si>
    <t>CES ANUAL 2013</t>
  </si>
  <si>
    <t>CES MENSAL 2014</t>
  </si>
  <si>
    <t>CES ANUAL 2014</t>
  </si>
  <si>
    <t>DE PENSÃO 2013</t>
  </si>
  <si>
    <t>DE PENSÃO 2014</t>
  </si>
  <si>
    <t>Dedução pessoal</t>
  </si>
  <si>
    <t>Estado Cívil</t>
  </si>
  <si>
    <t>(1) Solteiro, (2) Casado</t>
  </si>
  <si>
    <t>Sujeito Passivo</t>
  </si>
  <si>
    <t>Familias monoparentais</t>
  </si>
  <si>
    <t>Número de Dependentes</t>
  </si>
  <si>
    <t>Dependentes idade ≤ 3</t>
  </si>
  <si>
    <t>Idade ≤ 3 anos a 31/12</t>
  </si>
  <si>
    <t>Dependentes idade ≥ 3</t>
  </si>
  <si>
    <t>Idade &gt; 3 anos a 31/12</t>
  </si>
  <si>
    <t>Mais de 3 dependentes</t>
  </si>
  <si>
    <t>Despesas dedutíveis - Limites para 2014</t>
  </si>
  <si>
    <t>Informação</t>
  </si>
  <si>
    <r>
      <t xml:space="preserve">Ano do contrato </t>
    </r>
    <r>
      <rPr>
        <sz val="8"/>
        <color indexed="8"/>
        <rFont val="Georgia"/>
        <family val="1"/>
      </rPr>
      <t>(preenchimento obrigatório)</t>
    </r>
  </si>
  <si>
    <t/>
  </si>
  <si>
    <t>Sobretaxa extraordinária (4)</t>
  </si>
  <si>
    <t>Redução remuneratória para Função Pública</t>
  </si>
  <si>
    <t>Taxa adicional de solidariedade (2)</t>
  </si>
  <si>
    <t>Contribuição extraordinária de solidariedade (CES)</t>
  </si>
  <si>
    <t>Ano de contrato</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</si>
</sst>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_)"/>
    <numFmt numFmtId="166" formatCode="_-* #,##0.00[$€]_-;\-* #,##0.00[$€]_-;_-* &quot;-&quot;??[$€]_-;_-@_-"/>
    <numFmt numFmtId="167" formatCode="_-* #,##0.00\ [$€]_-;\-* #,##0.00\ [$€]_-;_-* &quot;-&quot;??\ [$€]_-;_-@_-"/>
    <numFmt numFmtId="168" formatCode="#,##0.00\ _€"/>
    <numFmt numFmtId="169" formatCode="_-* #,##0.00\ [$€-816]_-;\-* #,##0.00\ [$€-816]_-;_-* &quot;-&quot;??\ [$€-816]_-;_-@_-"/>
    <numFmt numFmtId="170" formatCode="#,##0.00_)&quot;€&quot;;\(#,##0.00\)&quot;€&quot;"/>
    <numFmt numFmtId="171" formatCode="#,##0_);\(#,##0\)"/>
    <numFmt numFmtId="172" formatCode="#,##0.00_);\(#,##0.00\)"/>
    <numFmt numFmtId="173" formatCode="0.0%"/>
    <numFmt numFmtId="174" formatCode="_-* #,##0\ _€_-;\-* #,##0\ _€_-;_-* &quot;-&quot;??\ _€_-;_-@_-"/>
  </numFmts>
  <fonts count="135">
    <font>
      <sz val="10"/>
      <color theme="1"/>
      <name val="Arial"/>
      <family val="2"/>
    </font>
    <font>
      <sz val="11"/>
      <color indexed="8"/>
      <name val="Arial"/>
      <family val="2"/>
    </font>
    <font>
      <sz val="10"/>
      <name val="Arial"/>
      <family val="2"/>
    </font>
    <font>
      <sz val="12"/>
      <name val="Arial MT"/>
      <family val="0"/>
    </font>
    <font>
      <sz val="8"/>
      <color indexed="8"/>
      <name val="Georgia"/>
      <family val="1"/>
    </font>
    <font>
      <sz val="11"/>
      <name val="Georgia"/>
      <family val="1"/>
    </font>
    <font>
      <b/>
      <sz val="11"/>
      <name val="Georgia"/>
      <family val="1"/>
    </font>
    <font>
      <sz val="11"/>
      <color indexed="12"/>
      <name val="Georgia"/>
      <family val="1"/>
    </font>
    <font>
      <sz val="7"/>
      <name val="Georgia"/>
      <family val="1"/>
    </font>
    <font>
      <sz val="10"/>
      <name val="Georgia"/>
      <family val="1"/>
    </font>
    <font>
      <sz val="10"/>
      <name val="Wingdings"/>
      <family val="0"/>
    </font>
    <font>
      <b/>
      <sz val="11"/>
      <name val="Arial"/>
      <family val="2"/>
    </font>
    <font>
      <sz val="11"/>
      <name val="Arial"/>
      <family val="2"/>
    </font>
    <font>
      <b/>
      <sz val="14"/>
      <name val="Arial"/>
      <family val="2"/>
    </font>
    <font>
      <sz val="12"/>
      <color indexed="8"/>
      <name val="Arial"/>
      <family val="2"/>
    </font>
    <font>
      <b/>
      <sz val="12"/>
      <color indexed="8"/>
      <name val="Arial"/>
      <family val="2"/>
    </font>
    <font>
      <sz val="12"/>
      <name val="Arial"/>
      <family val="2"/>
    </font>
    <font>
      <b/>
      <sz val="11"/>
      <color indexed="8"/>
      <name val="Arial"/>
      <family val="2"/>
    </font>
    <font>
      <b/>
      <sz val="10"/>
      <name val="Arial"/>
      <family val="2"/>
    </font>
    <font>
      <sz val="9"/>
      <color indexed="8"/>
      <name val="Arial"/>
      <family val="2"/>
    </font>
    <font>
      <sz val="8"/>
      <name val="Arial"/>
      <family val="2"/>
    </font>
    <font>
      <b/>
      <sz val="9"/>
      <color indexed="8"/>
      <name val="Arial"/>
      <family val="2"/>
    </font>
    <font>
      <sz val="8"/>
      <color indexed="8"/>
      <name val="Arial"/>
      <family val="2"/>
    </font>
    <font>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12"/>
      <name val="Arial"/>
      <family val="2"/>
    </font>
    <font>
      <sz val="10"/>
      <color indexed="17"/>
      <name val="Arial"/>
      <family val="2"/>
    </font>
    <font>
      <b/>
      <sz val="15"/>
      <color indexed="53"/>
      <name val="Arial"/>
      <family val="2"/>
    </font>
    <font>
      <b/>
      <sz val="13"/>
      <color indexed="53"/>
      <name val="Arial"/>
      <family val="2"/>
    </font>
    <font>
      <b/>
      <sz val="11"/>
      <color indexed="53"/>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3"/>
      <name val="Georgia"/>
      <family val="2"/>
    </font>
    <font>
      <b/>
      <sz val="10"/>
      <color indexed="8"/>
      <name val="Arial"/>
      <family val="2"/>
    </font>
    <font>
      <sz val="10"/>
      <color indexed="10"/>
      <name val="Arial"/>
      <family val="2"/>
    </font>
    <font>
      <sz val="10"/>
      <color indexed="8"/>
      <name val="Georgia"/>
      <family val="1"/>
    </font>
    <font>
      <b/>
      <sz val="10"/>
      <color indexed="9"/>
      <name val="Georgia"/>
      <family val="1"/>
    </font>
    <font>
      <sz val="10"/>
      <color indexed="53"/>
      <name val="Georgia"/>
      <family val="1"/>
    </font>
    <font>
      <b/>
      <i/>
      <sz val="16"/>
      <color indexed="8"/>
      <name val="Georgia"/>
      <family val="1"/>
    </font>
    <font>
      <sz val="16"/>
      <color indexed="8"/>
      <name val="Georgia"/>
      <family val="1"/>
    </font>
    <font>
      <sz val="16"/>
      <color indexed="8"/>
      <name val="Arial"/>
      <family val="2"/>
    </font>
    <font>
      <sz val="11"/>
      <color indexed="8"/>
      <name val="Georgia"/>
      <family val="1"/>
    </font>
    <font>
      <b/>
      <sz val="10"/>
      <color indexed="8"/>
      <name val="Georgia"/>
      <family val="1"/>
    </font>
    <font>
      <b/>
      <sz val="11"/>
      <color indexed="8"/>
      <name val="Georgia"/>
      <family val="1"/>
    </font>
    <font>
      <b/>
      <i/>
      <sz val="11"/>
      <color indexed="9"/>
      <name val="Georgia"/>
      <family val="1"/>
    </font>
    <font>
      <b/>
      <i/>
      <sz val="10"/>
      <color indexed="9"/>
      <name val="Arial"/>
      <family val="2"/>
    </font>
    <font>
      <i/>
      <sz val="10"/>
      <color indexed="8"/>
      <name val="Arial"/>
      <family val="2"/>
    </font>
    <font>
      <sz val="10"/>
      <color indexed="26"/>
      <name val="Georgia"/>
      <family val="1"/>
    </font>
    <font>
      <b/>
      <sz val="20"/>
      <name val="Georgia"/>
      <family val="1"/>
    </font>
    <font>
      <sz val="10"/>
      <color indexed="10"/>
      <name val="Georgia"/>
      <family val="1"/>
    </font>
    <font>
      <b/>
      <sz val="10"/>
      <name val="Georgia"/>
      <family val="1"/>
    </font>
    <font>
      <sz val="9"/>
      <color indexed="10"/>
      <name val="Arial"/>
      <family val="2"/>
    </font>
    <font>
      <b/>
      <sz val="10"/>
      <color indexed="53"/>
      <name val="Georgia"/>
      <family val="1"/>
    </font>
    <font>
      <b/>
      <sz val="8"/>
      <color indexed="16"/>
      <name val="Georgia"/>
      <family val="1"/>
    </font>
    <font>
      <b/>
      <sz val="8"/>
      <color indexed="8"/>
      <name val="Georgia"/>
      <family val="1"/>
    </font>
    <font>
      <sz val="14"/>
      <color indexed="8"/>
      <name val="Georgia"/>
      <family val="1"/>
    </font>
    <font>
      <b/>
      <sz val="7"/>
      <color indexed="8"/>
      <name val="Georgia"/>
      <family val="1"/>
    </font>
    <font>
      <sz val="10"/>
      <color indexed="9"/>
      <name val="Georgia"/>
      <family val="1"/>
    </font>
    <font>
      <b/>
      <i/>
      <sz val="12"/>
      <color indexed="9"/>
      <name val="Georgia"/>
      <family val="1"/>
    </font>
    <font>
      <b/>
      <sz val="12"/>
      <color indexed="9"/>
      <name val="Georgia"/>
      <family val="1"/>
    </font>
    <font>
      <b/>
      <sz val="10"/>
      <color indexed="9"/>
      <name val="Verdana"/>
      <family val="2"/>
    </font>
    <font>
      <sz val="8"/>
      <color indexed="9"/>
      <name val="Georgia"/>
      <family val="1"/>
    </font>
    <font>
      <sz val="11"/>
      <color indexed="16"/>
      <name val="Arial"/>
      <family val="2"/>
    </font>
    <font>
      <b/>
      <u val="single"/>
      <sz val="10"/>
      <color indexed="9"/>
      <name val="Georgia"/>
      <family val="1"/>
    </font>
    <font>
      <b/>
      <sz val="11"/>
      <color indexed="9"/>
      <name val="Georgia"/>
      <family val="1"/>
    </font>
    <font>
      <b/>
      <sz val="14"/>
      <color indexed="9"/>
      <name val="Georgia"/>
      <family val="0"/>
    </font>
    <font>
      <b/>
      <i/>
      <sz val="16"/>
      <color indexed="9"/>
      <name val="Georgia"/>
      <family val="0"/>
    </font>
    <font>
      <b/>
      <sz val="12.5"/>
      <color indexed="9"/>
      <name val="Georgia"/>
      <family val="0"/>
    </font>
    <font>
      <sz val="12.5"/>
      <color indexed="9"/>
      <name val="Georgia"/>
      <family val="0"/>
    </font>
    <font>
      <sz val="11"/>
      <color indexed="9"/>
      <name val="Arial"/>
      <family val="0"/>
    </font>
    <font>
      <sz val="12.5"/>
      <color indexed="9"/>
      <name val="Arial"/>
      <family val="0"/>
    </font>
    <font>
      <sz val="14"/>
      <color indexed="16"/>
      <name val="Arial"/>
      <family val="0"/>
    </font>
    <font>
      <sz val="15"/>
      <color indexed="8"/>
      <name val="Arial"/>
      <family val="0"/>
    </font>
    <font>
      <b/>
      <sz val="15"/>
      <color indexed="9"/>
      <name val="Georgia"/>
      <family val="0"/>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Georgia"/>
      <family val="2"/>
    </font>
    <font>
      <b/>
      <sz val="10"/>
      <color theme="1"/>
      <name val="Arial"/>
      <family val="2"/>
    </font>
    <font>
      <sz val="10"/>
      <color rgb="FFFF0000"/>
      <name val="Arial"/>
      <family val="2"/>
    </font>
    <font>
      <sz val="10"/>
      <color theme="1"/>
      <name val="Georgia"/>
      <family val="1"/>
    </font>
    <font>
      <b/>
      <sz val="10"/>
      <color theme="0"/>
      <name val="Georgia"/>
      <family val="1"/>
    </font>
    <font>
      <sz val="8"/>
      <color theme="1"/>
      <name val="Georgia"/>
      <family val="1"/>
    </font>
    <font>
      <sz val="10"/>
      <color theme="3"/>
      <name val="Georgia"/>
      <family val="1"/>
    </font>
    <font>
      <b/>
      <i/>
      <sz val="16"/>
      <color theme="1"/>
      <name val="Georgia"/>
      <family val="1"/>
    </font>
    <font>
      <sz val="16"/>
      <color theme="1"/>
      <name val="Georgia"/>
      <family val="1"/>
    </font>
    <font>
      <sz val="16"/>
      <color theme="1"/>
      <name val="Arial"/>
      <family val="2"/>
    </font>
    <font>
      <sz val="11"/>
      <color theme="1"/>
      <name val="Georgia"/>
      <family val="1"/>
    </font>
    <font>
      <b/>
      <sz val="10"/>
      <color theme="1"/>
      <name val="Georgia"/>
      <family val="1"/>
    </font>
    <font>
      <b/>
      <sz val="11"/>
      <color theme="1"/>
      <name val="Georgia"/>
      <family val="1"/>
    </font>
    <font>
      <b/>
      <i/>
      <sz val="11"/>
      <color theme="2"/>
      <name val="Georgia"/>
      <family val="1"/>
    </font>
    <font>
      <b/>
      <i/>
      <sz val="10"/>
      <color theme="2"/>
      <name val="Arial"/>
      <family val="2"/>
    </font>
    <font>
      <i/>
      <sz val="10"/>
      <color theme="1"/>
      <name val="Arial"/>
      <family val="2"/>
    </font>
    <font>
      <sz val="10"/>
      <color theme="5" tint="0.7999799847602844"/>
      <name val="Georgia"/>
      <family val="1"/>
    </font>
    <font>
      <sz val="10"/>
      <color rgb="FFFF0000"/>
      <name val="Georgia"/>
      <family val="1"/>
    </font>
    <font>
      <b/>
      <sz val="11"/>
      <color theme="1"/>
      <name val="Arial"/>
      <family val="2"/>
    </font>
    <font>
      <sz val="9"/>
      <color rgb="FFFF0000"/>
      <name val="Arial"/>
      <family val="2"/>
    </font>
    <font>
      <sz val="9"/>
      <color theme="1"/>
      <name val="Arial"/>
      <family val="2"/>
    </font>
    <font>
      <b/>
      <sz val="9"/>
      <color theme="1"/>
      <name val="Arial"/>
      <family val="2"/>
    </font>
    <font>
      <b/>
      <sz val="10"/>
      <color theme="2"/>
      <name val="Georgia"/>
      <family val="1"/>
    </font>
    <font>
      <b/>
      <sz val="10"/>
      <color theme="3"/>
      <name val="Georgia"/>
      <family val="1"/>
    </font>
    <font>
      <b/>
      <sz val="8"/>
      <color theme="6"/>
      <name val="Georgia"/>
      <family val="1"/>
    </font>
    <font>
      <b/>
      <sz val="8"/>
      <color theme="1"/>
      <name val="Georgia"/>
      <family val="1"/>
    </font>
    <font>
      <sz val="14"/>
      <color theme="1"/>
      <name val="Georgia"/>
      <family val="1"/>
    </font>
    <font>
      <b/>
      <sz val="7"/>
      <color theme="1"/>
      <name val="Georgia"/>
      <family val="1"/>
    </font>
    <font>
      <sz val="10"/>
      <color theme="0"/>
      <name val="Georgia"/>
      <family val="1"/>
    </font>
    <font>
      <b/>
      <i/>
      <sz val="12"/>
      <color theme="0"/>
      <name val="Georgia"/>
      <family val="1"/>
    </font>
    <font>
      <b/>
      <sz val="12"/>
      <color theme="0"/>
      <name val="Georgia"/>
      <family val="1"/>
    </font>
    <font>
      <sz val="10"/>
      <color theme="2"/>
      <name val="Georgia"/>
      <family val="1"/>
    </font>
    <font>
      <b/>
      <sz val="10"/>
      <color theme="2"/>
      <name val="Verdana"/>
      <family val="2"/>
    </font>
    <font>
      <sz val="10"/>
      <color theme="2"/>
      <name val="Arial"/>
      <family val="2"/>
    </font>
    <font>
      <sz val="8"/>
      <color theme="2"/>
      <name val="Georgia"/>
      <family val="1"/>
    </font>
    <font>
      <sz val="11"/>
      <color theme="6"/>
      <name val="Arial"/>
      <family val="2"/>
    </font>
    <font>
      <b/>
      <u val="single"/>
      <sz val="10"/>
      <color theme="0"/>
      <name val="Georgia"/>
      <family val="1"/>
    </font>
    <font>
      <b/>
      <sz val="11"/>
      <color theme="0"/>
      <name val="Georgia"/>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0CB"/>
        <bgColor indexed="64"/>
      </patternFill>
    </fill>
    <fill>
      <patternFill patternType="solid">
        <fgColor rgb="FFFFFFDD"/>
        <bgColor indexed="64"/>
      </patternFill>
    </fill>
    <fill>
      <patternFill patternType="solid">
        <fgColor theme="2"/>
        <bgColor indexed="64"/>
      </patternFill>
    </fill>
    <fill>
      <patternFill patternType="solid">
        <fgColor theme="3"/>
        <bgColor indexed="64"/>
      </patternFill>
    </fill>
    <fill>
      <patternFill patternType="solid">
        <fgColor rgb="FFFFFF00"/>
        <bgColor indexed="64"/>
      </patternFill>
    </fill>
    <fill>
      <patternFill patternType="solid">
        <fgColor indexed="9"/>
        <bgColor indexed="64"/>
      </patternFill>
    </fill>
    <fill>
      <patternFill patternType="solid">
        <fgColor indexed="55"/>
        <bgColor indexed="64"/>
      </patternFill>
    </fill>
    <fill>
      <patternFill patternType="solid">
        <fgColor rgb="FFDC6A00"/>
        <bgColor indexed="64"/>
      </patternFill>
    </fill>
    <fill>
      <patternFill patternType="solid">
        <fgColor theme="2" tint="-0.09996999800205231"/>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hair"/>
      <right style="hair"/>
      <top style="hair"/>
      <bottom style="hair"/>
    </border>
    <border>
      <left style="thin">
        <color theme="3"/>
      </left>
      <right/>
      <top style="thin">
        <color theme="3"/>
      </top>
      <bottom/>
    </border>
    <border>
      <left/>
      <right/>
      <top style="hair">
        <color theme="3"/>
      </top>
      <bottom/>
    </border>
    <border>
      <left/>
      <right/>
      <top/>
      <bottom style="hair">
        <color theme="4"/>
      </bottom>
    </border>
    <border>
      <left/>
      <right/>
      <top/>
      <bottom style="hair">
        <color theme="3"/>
      </bottom>
    </border>
    <border>
      <left style="thin">
        <color theme="3"/>
      </left>
      <right/>
      <top/>
      <bottom/>
    </border>
    <border>
      <left/>
      <right/>
      <top style="thin">
        <color theme="3"/>
      </top>
      <bottom/>
    </border>
    <border>
      <left/>
      <right/>
      <top style="thin">
        <color theme="0"/>
      </top>
      <bottom/>
    </border>
    <border>
      <left/>
      <right/>
      <top style="thin">
        <color theme="0"/>
      </top>
      <bottom style="hair">
        <color theme="5" tint="0.7999799847602844"/>
      </bottom>
    </border>
    <border>
      <left style="double">
        <color theme="1"/>
      </left>
      <right/>
      <top style="double">
        <color theme="1"/>
      </top>
      <bottom/>
    </border>
    <border>
      <left/>
      <right/>
      <top style="double">
        <color theme="1"/>
      </top>
      <bottom/>
    </border>
    <border>
      <left/>
      <right style="double">
        <color theme="1"/>
      </right>
      <top style="double">
        <color theme="1"/>
      </top>
      <bottom/>
    </border>
    <border>
      <left style="medium"/>
      <right style="medium"/>
      <top style="medium"/>
      <bottom style="medium"/>
    </border>
    <border>
      <left style="double">
        <color theme="1"/>
      </left>
      <right/>
      <top/>
      <bottom/>
    </border>
    <border>
      <left style="thin">
        <color indexed="8"/>
      </left>
      <right style="thin">
        <color indexed="8"/>
      </right>
      <top style="thin">
        <color indexed="8"/>
      </top>
      <bottom style="thin">
        <color indexed="8"/>
      </bottom>
    </border>
    <border>
      <left/>
      <right style="double">
        <color theme="1"/>
      </right>
      <top/>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right style="medium"/>
      <top style="medium"/>
      <bottom/>
    </border>
    <border>
      <left style="double">
        <color indexed="8"/>
      </left>
      <right/>
      <top style="double">
        <color indexed="8"/>
      </top>
      <bottom/>
    </border>
    <border>
      <left/>
      <right/>
      <top style="double">
        <color indexed="8"/>
      </top>
      <bottom/>
    </border>
    <border>
      <left/>
      <right style="double">
        <color indexed="8"/>
      </right>
      <top style="double">
        <color indexed="8"/>
      </top>
      <bottom/>
    </border>
    <border>
      <left style="medium"/>
      <right style="thin"/>
      <top/>
      <bottom/>
    </border>
    <border>
      <left style="thin"/>
      <right style="thin"/>
      <top/>
      <bottom/>
    </border>
    <border>
      <left style="thin"/>
      <right style="medium"/>
      <top/>
      <bottom/>
    </border>
    <border>
      <left style="medium">
        <color theme="1"/>
      </left>
      <right style="medium">
        <color theme="1"/>
      </right>
      <top style="medium">
        <color theme="1"/>
      </top>
      <bottom/>
    </border>
    <border>
      <left style="medium"/>
      <right style="medium"/>
      <top/>
      <bottom/>
    </border>
    <border>
      <left/>
      <right style="medium"/>
      <top/>
      <bottom/>
    </border>
    <border>
      <left style="double">
        <color indexed="8"/>
      </left>
      <right/>
      <top/>
      <bottom/>
    </border>
    <border>
      <left style="thin"/>
      <right style="thin"/>
      <top style="thin"/>
      <bottom style="thin"/>
    </border>
    <border>
      <left/>
      <right style="double">
        <color indexed="8"/>
      </right>
      <top/>
      <bottom/>
    </border>
    <border>
      <left style="medium">
        <color theme="1"/>
      </left>
      <right style="medium">
        <color theme="1"/>
      </right>
      <top/>
      <bottom/>
    </border>
    <border>
      <left style="medium"/>
      <right style="thin"/>
      <top style="thin"/>
      <bottom style="medium"/>
    </border>
    <border>
      <left/>
      <right/>
      <top style="thin"/>
      <bottom style="medium"/>
    </border>
    <border>
      <left style="medium"/>
      <right style="medium"/>
      <top/>
      <bottom style="medium"/>
    </border>
    <border>
      <left/>
      <right style="medium"/>
      <top/>
      <bottom style="medium"/>
    </border>
    <border>
      <left style="medium">
        <color theme="1"/>
      </left>
      <right style="medium">
        <color theme="1"/>
      </right>
      <top style="thin">
        <color indexed="8"/>
      </top>
      <botto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color indexed="8"/>
      </top>
      <bottom/>
    </border>
    <border>
      <left style="medium">
        <color theme="1"/>
      </left>
      <right style="medium">
        <color theme="1"/>
      </right>
      <top/>
      <bottom style="medium">
        <color theme="1"/>
      </bottom>
    </border>
    <border>
      <left style="double">
        <color theme="1"/>
      </left>
      <right/>
      <top/>
      <bottom style="double">
        <color theme="1"/>
      </bottom>
    </border>
    <border>
      <left/>
      <right/>
      <top/>
      <bottom style="double">
        <color theme="1"/>
      </bottom>
    </border>
    <border>
      <left/>
      <right style="double">
        <color theme="1"/>
      </right>
      <top/>
      <bottom style="double">
        <color theme="1"/>
      </bottom>
    </border>
    <border>
      <left/>
      <right/>
      <top/>
      <bottom style="thin"/>
    </border>
    <border>
      <left style="double"/>
      <right/>
      <top/>
      <bottom/>
    </border>
    <border>
      <left style="medium"/>
      <right/>
      <top style="medium"/>
      <bottom style="medium"/>
    </border>
    <border>
      <left style="medium"/>
      <right style="thin"/>
      <top/>
      <bottom style="thin"/>
    </border>
    <border>
      <left style="thin"/>
      <right/>
      <top/>
      <bottom style="thin"/>
    </border>
    <border>
      <left style="medium"/>
      <right/>
      <top/>
      <bottom style="thin"/>
    </border>
    <border>
      <left style="medium"/>
      <right style="thin"/>
      <top style="thin"/>
      <bottom style="thin"/>
    </border>
    <border>
      <left style="thin"/>
      <right/>
      <top style="thin"/>
      <bottom style="thin"/>
    </border>
    <border>
      <left style="medium"/>
      <right/>
      <top style="thin"/>
      <bottom style="thin"/>
    </border>
    <border>
      <left style="double"/>
      <right style="medium"/>
      <top/>
      <bottom/>
    </border>
    <border>
      <left/>
      <right style="double"/>
      <top/>
      <bottom/>
    </border>
    <border>
      <left style="double"/>
      <right style="medium"/>
      <top/>
      <bottom style="medium"/>
    </border>
    <border>
      <left/>
      <right/>
      <top/>
      <bottom style="double"/>
    </border>
    <border>
      <left/>
      <right/>
      <top style="thin"/>
      <bottom style="double"/>
    </border>
    <border>
      <left style="double"/>
      <right/>
      <top/>
      <bottom style="double"/>
    </border>
    <border>
      <left/>
      <right style="double"/>
      <top/>
      <bottom style="double"/>
    </border>
    <border>
      <left style="thin">
        <color indexed="8"/>
      </left>
      <right/>
      <top style="thin">
        <color indexed="8"/>
      </top>
      <bottom style="thin">
        <color indexed="8"/>
      </bottom>
    </border>
    <border>
      <left/>
      <right/>
      <top style="medium"/>
      <bottom style="medium"/>
    </border>
    <border>
      <left/>
      <right style="medium"/>
      <top style="medium"/>
      <bottom style="medium"/>
    </border>
    <border>
      <left/>
      <right style="thin"/>
      <top style="thin"/>
      <bottom style="thin"/>
    </border>
    <border>
      <left style="hair">
        <color theme="2"/>
      </left>
      <right/>
      <top/>
      <bottom/>
    </border>
    <border>
      <left/>
      <right style="hair">
        <color theme="4"/>
      </right>
      <top/>
      <bottom style="hair">
        <color theme="4"/>
      </bottom>
    </border>
    <border>
      <left style="hair">
        <color theme="4"/>
      </left>
      <right/>
      <top/>
      <bottom style="hair">
        <color theme="4"/>
      </bottom>
    </border>
    <border>
      <left/>
      <right style="hair">
        <color theme="4"/>
      </right>
      <top style="hair">
        <color theme="4"/>
      </top>
      <bottom style="hair">
        <color theme="4"/>
      </bottom>
    </border>
    <border>
      <left style="hair">
        <color theme="4"/>
      </left>
      <right/>
      <top style="hair">
        <color theme="4"/>
      </top>
      <bottom style="hair">
        <color theme="4"/>
      </bottom>
    </border>
    <border>
      <left/>
      <right style="thin">
        <color theme="6"/>
      </right>
      <top/>
      <bottom/>
    </border>
    <border>
      <left/>
      <right/>
      <top/>
      <bottom style="hair"/>
    </border>
    <border>
      <left/>
      <right style="hair">
        <color theme="5" tint="0.7999799847602844"/>
      </right>
      <top style="hair">
        <color theme="5" tint="0.7999799847602844"/>
      </top>
      <bottom/>
    </border>
    <border>
      <left/>
      <right style="hair">
        <color theme="5" tint="0.7999799847602844"/>
      </right>
      <top/>
      <bottom/>
    </border>
    <border>
      <left/>
      <right style="hair">
        <color theme="5" tint="0.7999799847602844"/>
      </right>
      <top/>
      <bottom style="hair">
        <color theme="4"/>
      </bottom>
    </border>
    <border>
      <left/>
      <right/>
      <top style="hair">
        <color theme="4"/>
      </top>
      <bottom style="hair">
        <color theme="4"/>
      </bottom>
    </border>
    <border>
      <left style="hair"/>
      <right/>
      <top style="hair"/>
      <bottom style="hair"/>
    </border>
    <border>
      <left/>
      <right style="hair"/>
      <top style="hair"/>
      <bottom style="hair"/>
    </border>
    <border>
      <left/>
      <right/>
      <top style="thin">
        <color theme="6"/>
      </top>
      <bottom/>
    </border>
    <border>
      <left/>
      <right/>
      <top style="hair">
        <color theme="3"/>
      </top>
      <bottom style="hair">
        <color theme="3"/>
      </bottom>
    </border>
    <border>
      <left style="medium"/>
      <right/>
      <top/>
      <bottom/>
    </border>
    <border>
      <left style="thin"/>
      <right/>
      <top style="medium"/>
      <bottom style="medium"/>
    </border>
    <border>
      <left/>
      <right style="thin"/>
      <top/>
      <bottom/>
    </border>
    <border>
      <left style="thin"/>
      <right/>
      <top/>
      <bottom/>
    </border>
    <border>
      <left style="medium"/>
      <right/>
      <top style="medium"/>
      <bottom/>
    </border>
    <border>
      <left/>
      <right/>
      <top style="medium"/>
      <bottom/>
    </border>
    <border>
      <left/>
      <right/>
      <top/>
      <bottom style="double">
        <color indexed="8"/>
      </bottom>
    </border>
    <border>
      <left style="medium"/>
      <right/>
      <top/>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85" fillId="0" borderId="0" applyFont="0" applyFill="0" applyBorder="0" applyAlignment="0" applyProtection="0"/>
    <xf numFmtId="166" fontId="3" fillId="0" borderId="0" applyFont="0" applyFill="0" applyBorder="0" applyAlignment="0" applyProtection="0"/>
    <xf numFmtId="167" fontId="2"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85" fillId="0" borderId="0">
      <alignment/>
      <protection/>
    </xf>
    <xf numFmtId="0" fontId="2" fillId="0" borderId="0">
      <alignment/>
      <protection/>
    </xf>
    <xf numFmtId="0" fontId="85" fillId="0" borderId="0">
      <alignment/>
      <protection/>
    </xf>
    <xf numFmtId="0" fontId="0" fillId="0" borderId="0">
      <alignment/>
      <protection/>
    </xf>
    <xf numFmtId="0" fontId="85" fillId="0" borderId="0">
      <alignment/>
      <protection/>
    </xf>
    <xf numFmtId="165" fontId="3" fillId="0" borderId="0">
      <alignment/>
      <protection/>
    </xf>
    <xf numFmtId="0" fontId="0" fillId="0" borderId="0">
      <alignment/>
      <protection/>
    </xf>
    <xf numFmtId="167" fontId="85" fillId="0" borderId="0">
      <alignment/>
      <protection/>
    </xf>
    <xf numFmtId="0" fontId="2" fillId="0" borderId="0">
      <alignment/>
      <protection/>
    </xf>
    <xf numFmtId="167" fontId="85"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522">
    <xf numFmtId="0" fontId="0" fillId="0" borderId="0" xfId="0" applyFont="1" applyAlignment="1">
      <alignment/>
    </xf>
    <xf numFmtId="0" fontId="100" fillId="33" borderId="0" xfId="64" applyFont="1" applyFill="1" applyBorder="1">
      <alignment/>
      <protection/>
    </xf>
    <xf numFmtId="0" fontId="101" fillId="33" borderId="0" xfId="64" applyFont="1" applyFill="1" applyAlignment="1">
      <alignment/>
      <protection/>
    </xf>
    <xf numFmtId="164" fontId="100" fillId="33" borderId="0" xfId="64" applyNumberFormat="1" applyFont="1" applyFill="1" applyBorder="1" applyAlignment="1">
      <alignment horizontal="right"/>
      <protection/>
    </xf>
    <xf numFmtId="0" fontId="100" fillId="33" borderId="0" xfId="66" applyFont="1" applyFill="1" applyProtection="1">
      <alignment/>
      <protection hidden="1"/>
    </xf>
    <xf numFmtId="167" fontId="100" fillId="33" borderId="0" xfId="66" applyNumberFormat="1" applyFont="1" applyFill="1" applyProtection="1">
      <alignment/>
      <protection hidden="1"/>
    </xf>
    <xf numFmtId="0" fontId="102" fillId="33" borderId="0" xfId="64" applyFont="1" applyFill="1" applyBorder="1" applyProtection="1">
      <alignment/>
      <protection hidden="1"/>
    </xf>
    <xf numFmtId="0" fontId="100" fillId="33" borderId="0" xfId="64" applyFont="1" applyFill="1" applyBorder="1" applyProtection="1">
      <alignment/>
      <protection hidden="1"/>
    </xf>
    <xf numFmtId="167" fontId="100" fillId="33" borderId="0" xfId="66" applyNumberFormat="1" applyFont="1" applyFill="1" applyAlignment="1" applyProtection="1">
      <alignment horizontal="left" vertical="center"/>
      <protection hidden="1"/>
    </xf>
    <xf numFmtId="0" fontId="100" fillId="34" borderId="0" xfId="64" applyFont="1" applyFill="1" applyBorder="1" applyAlignment="1" applyProtection="1">
      <alignment horizontal="left" vertical="center"/>
      <protection hidden="1"/>
    </xf>
    <xf numFmtId="167" fontId="100" fillId="33" borderId="0" xfId="66" applyNumberFormat="1" applyFont="1" applyFill="1" applyAlignment="1" applyProtection="1">
      <alignment vertical="center"/>
      <protection hidden="1"/>
    </xf>
    <xf numFmtId="0" fontId="102" fillId="33" borderId="0" xfId="64" applyFont="1" applyFill="1" applyBorder="1" applyAlignment="1" applyProtection="1">
      <alignment vertical="center"/>
      <protection hidden="1"/>
    </xf>
    <xf numFmtId="0" fontId="100" fillId="33" borderId="0" xfId="64" applyFont="1" applyFill="1" applyBorder="1" applyAlignment="1" applyProtection="1">
      <alignment vertical="center"/>
      <protection hidden="1"/>
    </xf>
    <xf numFmtId="167" fontId="103" fillId="33" borderId="0" xfId="66" applyNumberFormat="1" applyFont="1" applyFill="1" applyProtection="1">
      <alignment/>
      <protection hidden="1"/>
    </xf>
    <xf numFmtId="0" fontId="100" fillId="33" borderId="0" xfId="66" applyFont="1" applyFill="1" applyBorder="1" applyProtection="1">
      <alignment/>
      <protection hidden="1"/>
    </xf>
    <xf numFmtId="0" fontId="102" fillId="33" borderId="0" xfId="66" applyFont="1" applyFill="1" applyBorder="1" applyProtection="1">
      <alignment/>
      <protection hidden="1"/>
    </xf>
    <xf numFmtId="0" fontId="100" fillId="35" borderId="10" xfId="64" applyFont="1" applyFill="1" applyBorder="1" applyAlignment="1" applyProtection="1">
      <alignment vertical="center"/>
      <protection hidden="1" locked="0"/>
    </xf>
    <xf numFmtId="167" fontId="100" fillId="33" borderId="0" xfId="66" applyNumberFormat="1" applyFont="1" applyFill="1" applyAlignment="1" applyProtection="1">
      <alignment horizontal="left" vertical="top"/>
      <protection hidden="1"/>
    </xf>
    <xf numFmtId="0" fontId="101" fillId="20" borderId="0" xfId="64" applyFont="1" applyFill="1" applyBorder="1" applyAlignment="1" applyProtection="1">
      <alignment vertical="center"/>
      <protection hidden="1"/>
    </xf>
    <xf numFmtId="0" fontId="104" fillId="33" borderId="0" xfId="64" applyFont="1" applyFill="1" applyBorder="1" applyProtection="1">
      <alignment/>
      <protection hidden="1"/>
    </xf>
    <xf numFmtId="0" fontId="5" fillId="0" borderId="0" xfId="68" applyFont="1">
      <alignment/>
      <protection/>
    </xf>
    <xf numFmtId="0" fontId="5" fillId="33" borderId="0" xfId="68" applyFont="1" applyFill="1">
      <alignment/>
      <protection/>
    </xf>
    <xf numFmtId="0" fontId="5" fillId="33" borderId="0" xfId="68" applyFont="1" applyFill="1" applyProtection="1">
      <alignment/>
      <protection hidden="1"/>
    </xf>
    <xf numFmtId="0" fontId="5" fillId="33" borderId="0" xfId="68" applyFont="1" applyFill="1" applyAlignment="1" applyProtection="1">
      <alignment horizontal="justify"/>
      <protection hidden="1" locked="0"/>
    </xf>
    <xf numFmtId="0" fontId="5" fillId="33" borderId="0" xfId="68" applyFont="1" applyFill="1" applyAlignment="1" applyProtection="1">
      <alignment vertical="center" wrapText="1"/>
      <protection hidden="1"/>
    </xf>
    <xf numFmtId="0" fontId="5" fillId="33" borderId="0" xfId="68" applyFont="1" applyFill="1" applyAlignment="1">
      <alignment vertical="center" wrapText="1"/>
      <protection/>
    </xf>
    <xf numFmtId="0" fontId="5" fillId="33" borderId="0" xfId="68" applyFont="1" applyFill="1" applyBorder="1" applyProtection="1">
      <alignment/>
      <protection hidden="1"/>
    </xf>
    <xf numFmtId="0" fontId="5" fillId="33" borderId="0" xfId="68" applyFont="1" applyFill="1" applyBorder="1">
      <alignment/>
      <protection/>
    </xf>
    <xf numFmtId="0" fontId="7" fillId="33" borderId="0" xfId="68" applyFont="1" applyFill="1" applyBorder="1" applyAlignment="1" applyProtection="1">
      <alignment horizontal="justify" vertical="justify"/>
      <protection/>
    </xf>
    <xf numFmtId="0" fontId="5" fillId="33" borderId="0" xfId="68" applyFont="1" applyFill="1" applyAlignment="1">
      <alignment horizontal="justify"/>
      <protection/>
    </xf>
    <xf numFmtId="167" fontId="85" fillId="33" borderId="0" xfId="67" applyFill="1" applyAlignment="1">
      <alignment wrapText="1"/>
      <protection/>
    </xf>
    <xf numFmtId="167" fontId="85" fillId="33" borderId="0" xfId="67" applyFill="1" applyBorder="1" applyAlignment="1">
      <alignment wrapText="1"/>
      <protection/>
    </xf>
    <xf numFmtId="167" fontId="85" fillId="33" borderId="0" xfId="67" applyFont="1" applyFill="1" applyBorder="1" applyAlignment="1">
      <alignment wrapText="1"/>
      <protection/>
    </xf>
    <xf numFmtId="0" fontId="105" fillId="33" borderId="0" xfId="64" applyFont="1" applyFill="1" applyAlignment="1">
      <alignment wrapText="1"/>
      <protection/>
    </xf>
    <xf numFmtId="0" fontId="100" fillId="33" borderId="0" xfId="64" applyFont="1" applyFill="1" applyBorder="1" applyAlignment="1">
      <alignment wrapText="1"/>
      <protection/>
    </xf>
    <xf numFmtId="0" fontId="0" fillId="33" borderId="0" xfId="64" applyFont="1" applyFill="1" applyBorder="1" applyAlignment="1">
      <alignment wrapText="1"/>
      <protection/>
    </xf>
    <xf numFmtId="0" fontId="105" fillId="33" borderId="0" xfId="64" applyFont="1" applyFill="1" applyBorder="1" applyAlignment="1">
      <alignment wrapText="1"/>
      <protection/>
    </xf>
    <xf numFmtId="0" fontId="106" fillId="33" borderId="0" xfId="64" applyFont="1" applyFill="1" applyBorder="1" applyAlignment="1">
      <alignment wrapText="1"/>
      <protection/>
    </xf>
    <xf numFmtId="164" fontId="105" fillId="33" borderId="0" xfId="64" applyNumberFormat="1" applyFont="1" applyFill="1" applyBorder="1" applyAlignment="1">
      <alignment horizontal="right" wrapText="1"/>
      <protection/>
    </xf>
    <xf numFmtId="167" fontId="106" fillId="33" borderId="0" xfId="67" applyFont="1" applyFill="1" applyAlignment="1">
      <alignment wrapText="1"/>
      <protection/>
    </xf>
    <xf numFmtId="0" fontId="85" fillId="33" borderId="0" xfId="67" applyNumberFormat="1" applyFill="1" applyAlignment="1" applyProtection="1">
      <alignment wrapText="1"/>
      <protection locked="0"/>
    </xf>
    <xf numFmtId="0" fontId="101" fillId="33" borderId="0" xfId="64" applyFont="1" applyFill="1" applyAlignment="1">
      <alignment wrapText="1"/>
      <protection/>
    </xf>
    <xf numFmtId="0" fontId="101" fillId="33" borderId="0" xfId="64" applyFont="1" applyFill="1" applyBorder="1" applyAlignment="1">
      <alignment wrapText="1"/>
      <protection/>
    </xf>
    <xf numFmtId="0" fontId="84" fillId="33" borderId="0" xfId="64" applyFont="1" applyFill="1" applyBorder="1" applyAlignment="1">
      <alignment wrapText="1"/>
      <protection/>
    </xf>
    <xf numFmtId="164" fontId="101" fillId="33" borderId="0" xfId="64" applyNumberFormat="1" applyFont="1" applyFill="1" applyAlignment="1">
      <alignment horizontal="right" wrapText="1"/>
      <protection/>
    </xf>
    <xf numFmtId="0" fontId="85" fillId="33" borderId="0" xfId="67" applyNumberFormat="1" applyFill="1" applyAlignment="1">
      <alignment wrapText="1"/>
      <protection/>
    </xf>
    <xf numFmtId="0" fontId="85" fillId="33" borderId="0" xfId="67" applyNumberFormat="1" applyFill="1" applyBorder="1" applyAlignment="1">
      <alignment wrapText="1"/>
      <protection/>
    </xf>
    <xf numFmtId="0" fontId="85" fillId="33" borderId="0" xfId="67" applyNumberFormat="1" applyFont="1" applyFill="1" applyBorder="1" applyAlignment="1">
      <alignment wrapText="1"/>
      <protection/>
    </xf>
    <xf numFmtId="164" fontId="85" fillId="33" borderId="0" xfId="67" applyNumberFormat="1" applyFill="1" applyAlignment="1">
      <alignment horizontal="right" wrapText="1"/>
      <protection/>
    </xf>
    <xf numFmtId="167" fontId="85" fillId="33" borderId="0" xfId="67" applyFill="1">
      <alignment/>
      <protection/>
    </xf>
    <xf numFmtId="167" fontId="85" fillId="33" borderId="0" xfId="67" applyFill="1" applyBorder="1">
      <alignment/>
      <protection/>
    </xf>
    <xf numFmtId="167" fontId="85" fillId="33" borderId="0" xfId="67" applyFont="1" applyFill="1" applyBorder="1">
      <alignment/>
      <protection/>
    </xf>
    <xf numFmtId="167" fontId="85" fillId="33" borderId="0" xfId="67" applyFill="1" applyAlignment="1">
      <alignment/>
      <protection/>
    </xf>
    <xf numFmtId="0" fontId="0" fillId="33" borderId="0" xfId="64" applyFont="1" applyFill="1" applyBorder="1">
      <alignment/>
      <protection/>
    </xf>
    <xf numFmtId="0" fontId="85" fillId="33" borderId="0" xfId="67" applyNumberFormat="1" applyFill="1" applyProtection="1">
      <alignment/>
      <protection locked="0"/>
    </xf>
    <xf numFmtId="0" fontId="101" fillId="33" borderId="0" xfId="64" applyFont="1" applyFill="1" applyBorder="1" applyAlignment="1">
      <alignment/>
      <protection/>
    </xf>
    <xf numFmtId="0" fontId="84" fillId="33" borderId="0" xfId="64" applyFont="1" applyFill="1" applyBorder="1" applyAlignment="1">
      <alignment/>
      <protection/>
    </xf>
    <xf numFmtId="164" fontId="101" fillId="33" borderId="0" xfId="64" applyNumberFormat="1" applyFont="1" applyFill="1" applyAlignment="1">
      <alignment horizontal="right"/>
      <protection/>
    </xf>
    <xf numFmtId="167" fontId="107" fillId="0" borderId="0" xfId="67" applyFont="1" applyAlignment="1">
      <alignment horizontal="justify"/>
      <protection/>
    </xf>
    <xf numFmtId="0" fontId="85" fillId="33" borderId="0" xfId="67" applyNumberFormat="1" applyFill="1">
      <alignment/>
      <protection/>
    </xf>
    <xf numFmtId="0" fontId="85" fillId="33" borderId="0" xfId="67" applyNumberFormat="1" applyFill="1" applyBorder="1">
      <alignment/>
      <protection/>
    </xf>
    <xf numFmtId="0" fontId="85" fillId="33" borderId="0" xfId="67" applyNumberFormat="1" applyFont="1" applyFill="1" applyBorder="1">
      <alignment/>
      <protection/>
    </xf>
    <xf numFmtId="164" fontId="85" fillId="33" borderId="0" xfId="67" applyNumberFormat="1" applyFill="1" applyAlignment="1">
      <alignment horizontal="right"/>
      <protection/>
    </xf>
    <xf numFmtId="0" fontId="5" fillId="33" borderId="0" xfId="68" applyFont="1" applyFill="1" applyBorder="1" applyAlignment="1" applyProtection="1">
      <alignment horizontal="justify" vertical="justify"/>
      <protection/>
    </xf>
    <xf numFmtId="0" fontId="5" fillId="33" borderId="0" xfId="68" applyFont="1" applyFill="1" applyBorder="1" applyAlignment="1" applyProtection="1">
      <alignment horizontal="left" vertical="center" wrapText="1"/>
      <protection/>
    </xf>
    <xf numFmtId="0" fontId="5" fillId="33" borderId="0" xfId="68" applyFont="1" applyFill="1" applyBorder="1" applyAlignment="1" applyProtection="1">
      <alignment horizontal="justify" vertical="center" wrapText="1"/>
      <protection/>
    </xf>
    <xf numFmtId="0" fontId="108" fillId="33" borderId="11" xfId="64" applyFont="1" applyFill="1" applyBorder="1" applyProtection="1">
      <alignment/>
      <protection hidden="1"/>
    </xf>
    <xf numFmtId="0" fontId="101" fillId="20" borderId="0" xfId="64" applyFont="1" applyFill="1" applyBorder="1" applyAlignment="1" applyProtection="1">
      <alignment horizontal="left" vertical="center"/>
      <protection hidden="1"/>
    </xf>
    <xf numFmtId="0" fontId="101" fillId="22" borderId="0" xfId="64" applyFont="1" applyFill="1" applyBorder="1" applyAlignment="1" applyProtection="1">
      <alignment horizontal="left" vertical="center"/>
      <protection hidden="1"/>
    </xf>
    <xf numFmtId="0" fontId="100" fillId="3" borderId="0" xfId="64" applyFont="1" applyFill="1" applyBorder="1" applyAlignment="1" applyProtection="1">
      <alignment horizontal="left" vertical="center"/>
      <protection hidden="1"/>
    </xf>
    <xf numFmtId="0" fontId="100" fillId="3" borderId="0" xfId="64" applyFont="1" applyFill="1" applyBorder="1" applyAlignment="1" applyProtection="1">
      <alignment horizontal="left" vertical="top"/>
      <protection hidden="1"/>
    </xf>
    <xf numFmtId="0" fontId="109" fillId="3" borderId="0" xfId="64" applyFont="1" applyFill="1" applyBorder="1" applyProtection="1">
      <alignment/>
      <protection hidden="1"/>
    </xf>
    <xf numFmtId="0" fontId="107" fillId="3" borderId="0" xfId="64" applyFont="1" applyFill="1" applyBorder="1" applyProtection="1">
      <alignment/>
      <protection hidden="1"/>
    </xf>
    <xf numFmtId="0" fontId="100" fillId="3" borderId="12" xfId="64" applyFont="1" applyFill="1" applyBorder="1" applyAlignment="1" applyProtection="1">
      <alignment horizontal="left" vertical="center"/>
      <protection hidden="1"/>
    </xf>
    <xf numFmtId="0" fontId="102" fillId="3" borderId="0" xfId="64" applyFont="1" applyFill="1" applyBorder="1" applyAlignment="1" applyProtection="1">
      <alignment horizontal="left" vertical="center"/>
      <protection hidden="1"/>
    </xf>
    <xf numFmtId="0" fontId="100" fillId="3" borderId="13" xfId="64" applyFont="1" applyFill="1" applyBorder="1" applyAlignment="1" applyProtection="1">
      <alignment horizontal="left" vertical="center"/>
      <protection hidden="1"/>
    </xf>
    <xf numFmtId="0" fontId="5" fillId="36" borderId="0" xfId="68" applyFont="1" applyFill="1" applyProtection="1">
      <alignment/>
      <protection hidden="1"/>
    </xf>
    <xf numFmtId="0" fontId="110" fillId="36" borderId="0" xfId="68" applyFont="1" applyFill="1" applyBorder="1" applyAlignment="1" applyProtection="1">
      <alignment horizontal="justify" vertical="center"/>
      <protection/>
    </xf>
    <xf numFmtId="0" fontId="5" fillId="36" borderId="0" xfId="68" applyFont="1" applyFill="1">
      <alignment/>
      <protection/>
    </xf>
    <xf numFmtId="0" fontId="9" fillId="33" borderId="0" xfId="68" applyFont="1" applyFill="1" applyBorder="1" applyAlignment="1" applyProtection="1">
      <alignment horizontal="left" vertical="top" wrapText="1"/>
      <protection/>
    </xf>
    <xf numFmtId="0" fontId="6" fillId="36" borderId="0" xfId="68" applyFont="1" applyFill="1" applyBorder="1" applyAlignment="1" applyProtection="1">
      <alignment horizontal="justify" vertical="center"/>
      <protection/>
    </xf>
    <xf numFmtId="0" fontId="5" fillId="36" borderId="0" xfId="68" applyFont="1" applyFill="1" applyBorder="1" applyProtection="1">
      <alignment/>
      <protection hidden="1"/>
    </xf>
    <xf numFmtId="0" fontId="110" fillId="33" borderId="0" xfId="68" applyFont="1" applyFill="1" applyAlignment="1" applyProtection="1">
      <alignment vertical="center"/>
      <protection hidden="1"/>
    </xf>
    <xf numFmtId="0" fontId="110" fillId="33" borderId="0" xfId="68" applyFont="1" applyFill="1" applyAlignment="1">
      <alignment vertical="center"/>
      <protection/>
    </xf>
    <xf numFmtId="0" fontId="110" fillId="36" borderId="0" xfId="68" applyFont="1" applyFill="1" applyAlignment="1" applyProtection="1">
      <alignment vertical="center"/>
      <protection hidden="1"/>
    </xf>
    <xf numFmtId="0" fontId="111" fillId="36" borderId="0" xfId="0" applyFont="1" applyFill="1" applyAlignment="1">
      <alignment horizontal="justify" vertical="center"/>
    </xf>
    <xf numFmtId="0" fontId="110" fillId="36" borderId="0" xfId="68" applyFont="1" applyFill="1" applyAlignment="1">
      <alignment vertical="center"/>
      <protection/>
    </xf>
    <xf numFmtId="0" fontId="110" fillId="36" borderId="14" xfId="68" applyFont="1" applyFill="1" applyBorder="1" applyAlignment="1" applyProtection="1">
      <alignment horizontal="justify" vertical="center"/>
      <protection/>
    </xf>
    <xf numFmtId="0" fontId="112" fillId="36" borderId="14" xfId="0" applyFont="1" applyFill="1" applyBorder="1" applyAlignment="1">
      <alignment horizontal="justify" vertical="center"/>
    </xf>
    <xf numFmtId="0" fontId="5" fillId="33" borderId="0" xfId="68" applyFont="1" applyFill="1" applyBorder="1" applyAlignment="1" applyProtection="1">
      <alignment vertical="center"/>
      <protection/>
    </xf>
    <xf numFmtId="0" fontId="6" fillId="33" borderId="0" xfId="68" applyFont="1" applyFill="1" applyBorder="1" applyAlignment="1" applyProtection="1">
      <alignment vertical="center"/>
      <protection/>
    </xf>
    <xf numFmtId="0" fontId="9" fillId="33" borderId="0" xfId="68" applyFont="1" applyFill="1" applyBorder="1" applyAlignment="1" applyProtection="1">
      <alignment vertical="center"/>
      <protection/>
    </xf>
    <xf numFmtId="0" fontId="9" fillId="34" borderId="0" xfId="64" applyFont="1" applyFill="1" applyBorder="1" applyAlignment="1">
      <alignment horizontal="left" vertical="center" wrapText="1"/>
      <protection/>
    </xf>
    <xf numFmtId="0" fontId="5" fillId="34" borderId="0" xfId="64" applyFont="1" applyFill="1" applyBorder="1" applyAlignment="1">
      <alignment horizontal="left" vertical="center" wrapText="1"/>
      <protection/>
    </xf>
    <xf numFmtId="0" fontId="6" fillId="34" borderId="0" xfId="64" applyFont="1" applyFill="1" applyBorder="1" applyAlignment="1">
      <alignment horizontal="left" vertical="center" wrapText="1"/>
      <protection/>
    </xf>
    <xf numFmtId="0" fontId="108" fillId="33" borderId="11" xfId="64" applyFont="1" applyFill="1" applyBorder="1" applyAlignment="1">
      <alignment wrapText="1"/>
      <protection/>
    </xf>
    <xf numFmtId="0" fontId="104" fillId="33" borderId="15" xfId="64" applyFont="1" applyFill="1" applyBorder="1" applyAlignment="1">
      <alignment wrapText="1"/>
      <protection/>
    </xf>
    <xf numFmtId="0" fontId="104" fillId="33" borderId="0" xfId="64" applyFont="1" applyFill="1" applyBorder="1" applyAlignment="1">
      <alignment wrapText="1"/>
      <protection/>
    </xf>
    <xf numFmtId="0" fontId="108" fillId="33" borderId="11" xfId="64" applyFont="1" applyFill="1" applyBorder="1" applyAlignment="1">
      <alignment horizontal="center"/>
      <protection/>
    </xf>
    <xf numFmtId="0" fontId="108" fillId="33" borderId="16" xfId="64" applyFont="1" applyFill="1" applyBorder="1" applyAlignment="1">
      <alignment horizontal="center"/>
      <protection/>
    </xf>
    <xf numFmtId="0" fontId="104" fillId="33" borderId="15" xfId="64" applyFont="1" applyFill="1" applyBorder="1">
      <alignment/>
      <protection/>
    </xf>
    <xf numFmtId="0" fontId="104" fillId="33" borderId="0" xfId="64" applyFont="1" applyFill="1" applyBorder="1">
      <alignment/>
      <protection/>
    </xf>
    <xf numFmtId="0" fontId="101" fillId="22" borderId="17" xfId="64" applyFont="1" applyFill="1" applyBorder="1" applyAlignment="1" applyProtection="1">
      <alignment horizontal="left" vertical="center"/>
      <protection hidden="1"/>
    </xf>
    <xf numFmtId="0" fontId="101" fillId="20" borderId="17" xfId="64" applyFont="1" applyFill="1" applyBorder="1" applyAlignment="1" applyProtection="1">
      <alignment vertical="center"/>
      <protection hidden="1"/>
    </xf>
    <xf numFmtId="0" fontId="101" fillId="37" borderId="18" xfId="64" applyFont="1" applyFill="1" applyBorder="1" applyAlignment="1" applyProtection="1">
      <alignment horizontal="left" vertical="center"/>
      <protection hidden="1"/>
    </xf>
    <xf numFmtId="0" fontId="113" fillId="3" borderId="0" xfId="64" applyFont="1" applyFill="1" applyBorder="1" applyAlignment="1" applyProtection="1" quotePrefix="1">
      <alignment horizontal="left" vertical="center"/>
      <protection hidden="1"/>
    </xf>
    <xf numFmtId="0" fontId="100" fillId="3" borderId="0" xfId="64" applyFont="1" applyFill="1" applyBorder="1" applyAlignment="1" applyProtection="1">
      <alignment horizontal="left" vertical="center" indent="1"/>
      <protection hidden="1"/>
    </xf>
    <xf numFmtId="0" fontId="100" fillId="34" borderId="0" xfId="64" applyFont="1" applyFill="1" applyBorder="1" applyAlignment="1" applyProtection="1">
      <alignment horizontal="left" vertical="center" indent="1"/>
      <protection hidden="1"/>
    </xf>
    <xf numFmtId="0" fontId="55" fillId="33" borderId="0" xfId="61" applyFont="1" applyFill="1" applyAlignment="1" applyProtection="1">
      <alignment horizontal="centerContinuous"/>
      <protection/>
    </xf>
    <xf numFmtId="0" fontId="9" fillId="33" borderId="0" xfId="61" applyFont="1" applyFill="1" applyAlignment="1" applyProtection="1">
      <alignment horizontal="centerContinuous"/>
      <protection/>
    </xf>
    <xf numFmtId="0" fontId="9" fillId="33" borderId="0" xfId="61" applyFont="1" applyFill="1" applyAlignment="1" applyProtection="1">
      <alignment horizontal="center"/>
      <protection/>
    </xf>
    <xf numFmtId="0" fontId="9" fillId="33" borderId="0" xfId="61" applyFont="1" applyFill="1" applyAlignment="1" applyProtection="1">
      <alignment horizontal="left" vertical="center"/>
      <protection/>
    </xf>
    <xf numFmtId="0" fontId="100" fillId="33" borderId="0" xfId="0" applyFont="1" applyFill="1" applyAlignment="1">
      <alignment/>
    </xf>
    <xf numFmtId="0" fontId="9" fillId="33" borderId="0" xfId="61" applyFont="1" applyFill="1">
      <alignment/>
      <protection/>
    </xf>
    <xf numFmtId="0" fontId="11" fillId="0" borderId="0" xfId="0" applyFont="1" applyBorder="1" applyAlignment="1">
      <alignment vertical="justify"/>
    </xf>
    <xf numFmtId="0" fontId="100" fillId="0" borderId="0" xfId="0" applyFont="1" applyAlignment="1">
      <alignment/>
    </xf>
    <xf numFmtId="0" fontId="9" fillId="38" borderId="0" xfId="61" applyFont="1" applyFill="1" applyAlignment="1" applyProtection="1">
      <alignment horizontal="centerContinuous"/>
      <protection/>
    </xf>
    <xf numFmtId="0" fontId="12" fillId="0" borderId="0" xfId="0" applyFont="1" applyBorder="1" applyAlignment="1">
      <alignment vertical="justify"/>
    </xf>
    <xf numFmtId="0" fontId="114" fillId="33" borderId="0" xfId="61" applyFont="1" applyFill="1" applyAlignment="1" applyProtection="1">
      <alignment horizontal="centerContinuous"/>
      <protection/>
    </xf>
    <xf numFmtId="0" fontId="9" fillId="33" borderId="0" xfId="61" applyFont="1" applyFill="1" applyAlignment="1" applyProtection="1">
      <alignment horizontal="left"/>
      <protection/>
    </xf>
    <xf numFmtId="0" fontId="101" fillId="33" borderId="0" xfId="61" applyFont="1" applyFill="1" applyAlignment="1" applyProtection="1">
      <alignment horizontal="center" vertical="center"/>
      <protection/>
    </xf>
    <xf numFmtId="0" fontId="13" fillId="0" borderId="0" xfId="0" applyFont="1" applyAlignment="1">
      <alignment horizontal="left"/>
    </xf>
    <xf numFmtId="0" fontId="115" fillId="0" borderId="0" xfId="0" applyFont="1" applyBorder="1" applyAlignment="1">
      <alignment/>
    </xf>
    <xf numFmtId="0" fontId="6" fillId="33" borderId="0" xfId="61" applyFont="1" applyFill="1" applyBorder="1" applyAlignment="1" applyProtection="1">
      <alignment horizontal="center"/>
      <protection/>
    </xf>
    <xf numFmtId="0" fontId="6" fillId="33" borderId="0" xfId="61" applyFont="1" applyFill="1" applyBorder="1" applyAlignment="1" applyProtection="1">
      <alignment horizontal="center"/>
      <protection locked="0"/>
    </xf>
    <xf numFmtId="0" fontId="100" fillId="33" borderId="0" xfId="0" applyFont="1" applyFill="1" applyBorder="1" applyAlignment="1">
      <alignment/>
    </xf>
    <xf numFmtId="0" fontId="0" fillId="0" borderId="0" xfId="0" applyFont="1" applyBorder="1" applyAlignment="1">
      <alignment horizontal="left"/>
    </xf>
    <xf numFmtId="0" fontId="100" fillId="0" borderId="0" xfId="0" applyFont="1" applyBorder="1" applyAlignment="1">
      <alignment/>
    </xf>
    <xf numFmtId="171" fontId="14" fillId="0" borderId="0" xfId="0" applyNumberFormat="1" applyFont="1" applyAlignment="1" applyProtection="1">
      <alignment/>
      <protection/>
    </xf>
    <xf numFmtId="171" fontId="15" fillId="0" borderId="0" xfId="0" applyNumberFormat="1" applyFont="1" applyAlignment="1" applyProtection="1">
      <alignment horizontal="center"/>
      <protection/>
    </xf>
    <xf numFmtId="0" fontId="13" fillId="0" borderId="0" xfId="0" applyFont="1" applyAlignment="1">
      <alignment/>
    </xf>
    <xf numFmtId="0" fontId="108" fillId="0" borderId="0" xfId="0" applyFont="1" applyAlignment="1">
      <alignment/>
    </xf>
    <xf numFmtId="0" fontId="0" fillId="0" borderId="0" xfId="0" applyBorder="1" applyAlignment="1">
      <alignment horizontal="left"/>
    </xf>
    <xf numFmtId="171" fontId="14" fillId="0" borderId="19" xfId="0" applyNumberFormat="1" applyFont="1" applyBorder="1" applyAlignment="1" applyProtection="1">
      <alignment/>
      <protection/>
    </xf>
    <xf numFmtId="171" fontId="14" fillId="0" borderId="20" xfId="0" applyNumberFormat="1" applyFont="1" applyBorder="1" applyAlignment="1" applyProtection="1">
      <alignment/>
      <protection/>
    </xf>
    <xf numFmtId="171" fontId="14" fillId="0" borderId="21" xfId="0" applyNumberFormat="1" applyFont="1" applyBorder="1" applyAlignment="1" applyProtection="1">
      <alignment/>
      <protection/>
    </xf>
    <xf numFmtId="0" fontId="107" fillId="33" borderId="22" xfId="60" applyFont="1" applyFill="1" applyBorder="1">
      <alignment/>
      <protection/>
    </xf>
    <xf numFmtId="165" fontId="16" fillId="0" borderId="23" xfId="0" applyNumberFormat="1" applyFont="1" applyBorder="1" applyAlignment="1">
      <alignment/>
    </xf>
    <xf numFmtId="171" fontId="17" fillId="33" borderId="24" xfId="61" applyNumberFormat="1" applyFont="1" applyFill="1" applyBorder="1" applyProtection="1">
      <alignment/>
      <protection/>
    </xf>
    <xf numFmtId="0" fontId="12" fillId="33" borderId="0" xfId="61" applyFont="1" applyFill="1" applyBorder="1" applyProtection="1">
      <alignment/>
      <protection/>
    </xf>
    <xf numFmtId="0" fontId="11" fillId="33" borderId="24" xfId="61" applyFont="1" applyFill="1" applyBorder="1" applyAlignment="1" applyProtection="1">
      <alignment horizontal="centerContinuous"/>
      <protection/>
    </xf>
    <xf numFmtId="171" fontId="14" fillId="0" borderId="25" xfId="0" applyNumberFormat="1" applyFont="1" applyBorder="1" applyAlignment="1" applyProtection="1">
      <alignment/>
      <protection/>
    </xf>
    <xf numFmtId="0" fontId="18" fillId="0" borderId="0" xfId="0" applyFont="1" applyAlignment="1">
      <alignment/>
    </xf>
    <xf numFmtId="0" fontId="5" fillId="33" borderId="0" xfId="61" applyFont="1" applyFill="1">
      <alignment/>
      <protection/>
    </xf>
    <xf numFmtId="164" fontId="9" fillId="33" borderId="26" xfId="60" applyNumberFormat="1" applyFont="1" applyFill="1" applyBorder="1">
      <alignment/>
      <protection/>
    </xf>
    <xf numFmtId="164" fontId="9" fillId="33" borderId="27" xfId="60" applyNumberFormat="1" applyFont="1" applyFill="1" applyBorder="1">
      <alignment/>
      <protection/>
    </xf>
    <xf numFmtId="10" fontId="9" fillId="33" borderId="27" xfId="73" applyNumberFormat="1" applyFont="1" applyFill="1" applyBorder="1" applyAlignment="1">
      <alignment horizontal="center"/>
    </xf>
    <xf numFmtId="0" fontId="100" fillId="33" borderId="27" xfId="0" applyFont="1" applyFill="1" applyBorder="1" applyAlignment="1">
      <alignment/>
    </xf>
    <xf numFmtId="167" fontId="19" fillId="2" borderId="27" xfId="0" applyNumberFormat="1" applyFont="1" applyFill="1" applyBorder="1" applyAlignment="1">
      <alignment/>
    </xf>
    <xf numFmtId="167" fontId="19" fillId="2" borderId="28" xfId="0" applyNumberFormat="1" applyFont="1" applyFill="1" applyBorder="1" applyAlignment="1">
      <alignment/>
    </xf>
    <xf numFmtId="171" fontId="14" fillId="0" borderId="0" xfId="0" applyNumberFormat="1" applyFont="1" applyBorder="1" applyAlignment="1" applyProtection="1">
      <alignment/>
      <protection/>
    </xf>
    <xf numFmtId="0" fontId="18" fillId="0" borderId="29" xfId="0" applyFont="1" applyBorder="1" applyAlignment="1">
      <alignment horizontal="center"/>
    </xf>
    <xf numFmtId="0" fontId="18" fillId="0" borderId="30" xfId="0" applyFont="1" applyBorder="1" applyAlignment="1">
      <alignment horizontal="center"/>
    </xf>
    <xf numFmtId="0" fontId="5" fillId="33" borderId="31" xfId="61" applyFont="1" applyFill="1" applyBorder="1" applyProtection="1">
      <alignment/>
      <protection/>
    </xf>
    <xf numFmtId="0" fontId="5" fillId="33" borderId="32" xfId="61" applyFont="1" applyFill="1" applyBorder="1" applyProtection="1">
      <alignment/>
      <protection/>
    </xf>
    <xf numFmtId="0" fontId="5" fillId="33" borderId="33" xfId="61" applyFont="1" applyFill="1" applyBorder="1" applyProtection="1">
      <alignment/>
      <protection/>
    </xf>
    <xf numFmtId="164" fontId="9" fillId="33" borderId="34" xfId="60" applyNumberFormat="1" applyFont="1" applyFill="1" applyBorder="1">
      <alignment/>
      <protection/>
    </xf>
    <xf numFmtId="164" fontId="9" fillId="33" borderId="35" xfId="60" applyNumberFormat="1" applyFont="1" applyFill="1" applyBorder="1">
      <alignment/>
      <protection/>
    </xf>
    <xf numFmtId="10" fontId="9" fillId="33" borderId="35" xfId="73" applyNumberFormat="1" applyFont="1" applyFill="1" applyBorder="1" applyAlignment="1">
      <alignment horizontal="center"/>
    </xf>
    <xf numFmtId="164" fontId="100" fillId="33" borderId="35" xfId="0" applyNumberFormat="1" applyFont="1" applyFill="1" applyBorder="1" applyAlignment="1">
      <alignment/>
    </xf>
    <xf numFmtId="167" fontId="19" fillId="2" borderId="35" xfId="0" applyNumberFormat="1" applyFont="1" applyFill="1" applyBorder="1" applyAlignment="1">
      <alignment/>
    </xf>
    <xf numFmtId="167" fontId="19" fillId="2" borderId="36" xfId="0" applyNumberFormat="1" applyFont="1" applyFill="1" applyBorder="1" applyAlignment="1">
      <alignment/>
    </xf>
    <xf numFmtId="0" fontId="11" fillId="33" borderId="37" xfId="61" applyFont="1" applyFill="1" applyBorder="1" applyProtection="1">
      <alignment/>
      <protection/>
    </xf>
    <xf numFmtId="172" fontId="17" fillId="33" borderId="37" xfId="61" applyNumberFormat="1" applyFont="1" applyFill="1" applyBorder="1" applyProtection="1">
      <alignment/>
      <protection/>
    </xf>
    <xf numFmtId="0" fontId="18" fillId="0" borderId="38" xfId="0" applyFont="1" applyBorder="1" applyAlignment="1">
      <alignment horizontal="center"/>
    </xf>
    <xf numFmtId="0" fontId="18" fillId="0" borderId="39" xfId="0" applyFont="1" applyBorder="1" applyAlignment="1">
      <alignment horizontal="center"/>
    </xf>
    <xf numFmtId="0" fontId="5" fillId="33" borderId="40" xfId="61" applyFont="1" applyFill="1" applyBorder="1" applyProtection="1">
      <alignment/>
      <protection/>
    </xf>
    <xf numFmtId="171" fontId="50" fillId="33" borderId="24" xfId="61" applyNumberFormat="1" applyFont="1" applyFill="1" applyBorder="1" applyProtection="1">
      <alignment/>
      <protection/>
    </xf>
    <xf numFmtId="0" fontId="5" fillId="33" borderId="0" xfId="61" applyFont="1" applyFill="1" applyProtection="1">
      <alignment/>
      <protection/>
    </xf>
    <xf numFmtId="0" fontId="6" fillId="33" borderId="41" xfId="61" applyFont="1" applyFill="1" applyBorder="1" applyAlignment="1" applyProtection="1">
      <alignment horizontal="centerContinuous"/>
      <protection/>
    </xf>
    <xf numFmtId="0" fontId="5" fillId="33" borderId="0" xfId="61" applyFont="1" applyFill="1" applyAlignment="1" applyProtection="1">
      <alignment horizontal="center"/>
      <protection/>
    </xf>
    <xf numFmtId="0" fontId="6" fillId="33" borderId="41" xfId="61" applyFont="1" applyFill="1" applyBorder="1" applyAlignment="1" applyProtection="1">
      <alignment horizontal="center"/>
      <protection/>
    </xf>
    <xf numFmtId="0" fontId="6" fillId="33" borderId="0" xfId="61" applyFont="1" applyFill="1" applyBorder="1" applyAlignment="1" applyProtection="1">
      <alignment horizontal="centerContinuous"/>
      <protection/>
    </xf>
    <xf numFmtId="0" fontId="5" fillId="33" borderId="42" xfId="61" applyFont="1" applyFill="1" applyBorder="1" applyProtection="1">
      <alignment/>
      <protection/>
    </xf>
    <xf numFmtId="164" fontId="100" fillId="0" borderId="36" xfId="0" applyNumberFormat="1" applyFont="1" applyBorder="1" applyAlignment="1">
      <alignment/>
    </xf>
    <xf numFmtId="0" fontId="11" fillId="33" borderId="43" xfId="61" applyFont="1" applyFill="1" applyBorder="1" applyProtection="1">
      <alignment/>
      <protection/>
    </xf>
    <xf numFmtId="172" fontId="17" fillId="33" borderId="43" xfId="61" applyNumberFormat="1" applyFont="1" applyFill="1" applyBorder="1" applyProtection="1">
      <alignment/>
      <protection/>
    </xf>
    <xf numFmtId="0" fontId="2" fillId="0" borderId="44" xfId="0" applyFont="1" applyBorder="1" applyAlignment="1">
      <alignment/>
    </xf>
    <xf numFmtId="0" fontId="2" fillId="0" borderId="45" xfId="0" applyFont="1" applyBorder="1" applyAlignment="1">
      <alignment/>
    </xf>
    <xf numFmtId="0" fontId="0" fillId="0" borderId="46" xfId="0" applyBorder="1" applyAlignment="1">
      <alignment/>
    </xf>
    <xf numFmtId="0" fontId="20" fillId="0" borderId="47" xfId="0" applyFont="1" applyBorder="1" applyAlignment="1">
      <alignment horizontal="center"/>
    </xf>
    <xf numFmtId="0" fontId="11" fillId="33" borderId="43" xfId="61" applyFont="1" applyFill="1" applyBorder="1" applyAlignment="1" applyProtection="1">
      <alignment horizontal="right" indent="1"/>
      <protection/>
    </xf>
    <xf numFmtId="165" fontId="16" fillId="0" borderId="25" xfId="0" applyNumberFormat="1" applyFont="1" applyBorder="1" applyAlignment="1">
      <alignment/>
    </xf>
    <xf numFmtId="165" fontId="16" fillId="0" borderId="0" xfId="0" applyNumberFormat="1" applyFont="1" applyAlignment="1">
      <alignment/>
    </xf>
    <xf numFmtId="164" fontId="2" fillId="0" borderId="22" xfId="0" applyNumberFormat="1" applyFont="1" applyBorder="1" applyAlignment="1">
      <alignment/>
    </xf>
    <xf numFmtId="10" fontId="0" fillId="0" borderId="22" xfId="0" applyNumberFormat="1" applyBorder="1" applyAlignment="1">
      <alignment/>
    </xf>
    <xf numFmtId="2" fontId="2" fillId="0" borderId="22" xfId="0" applyNumberFormat="1" applyFont="1" applyBorder="1" applyAlignment="1">
      <alignment horizontal="right"/>
    </xf>
    <xf numFmtId="0" fontId="6" fillId="33" borderId="29" xfId="61" applyFont="1" applyFill="1" applyBorder="1" applyProtection="1">
      <alignment/>
      <protection/>
    </xf>
    <xf numFmtId="172" fontId="50" fillId="33" borderId="0" xfId="61" applyNumberFormat="1" applyFont="1" applyFill="1" applyProtection="1">
      <alignment/>
      <protection/>
    </xf>
    <xf numFmtId="0" fontId="11" fillId="33" borderId="43" xfId="61" applyFont="1" applyFill="1" applyBorder="1" applyAlignment="1" applyProtection="1">
      <alignment horizontal="left" indent="2"/>
      <protection/>
    </xf>
    <xf numFmtId="164" fontId="0" fillId="0" borderId="22" xfId="0" applyNumberFormat="1" applyBorder="1" applyAlignment="1">
      <alignment/>
    </xf>
    <xf numFmtId="164" fontId="0" fillId="0" borderId="22" xfId="0" applyNumberFormat="1" applyFill="1" applyBorder="1" applyAlignment="1">
      <alignment/>
    </xf>
    <xf numFmtId="10" fontId="2" fillId="0" borderId="22" xfId="74" applyNumberFormat="1" applyFont="1" applyFill="1" applyBorder="1" applyAlignment="1">
      <alignment/>
    </xf>
    <xf numFmtId="4" fontId="0" fillId="0" borderId="22" xfId="0" applyNumberFormat="1" applyBorder="1" applyAlignment="1">
      <alignment/>
    </xf>
    <xf numFmtId="0" fontId="6" fillId="33" borderId="38" xfId="61" applyFont="1" applyFill="1" applyBorder="1" applyProtection="1">
      <alignment/>
      <protection/>
    </xf>
    <xf numFmtId="172" fontId="1" fillId="33" borderId="43" xfId="61" applyNumberFormat="1" applyFont="1" applyFill="1" applyBorder="1" applyProtection="1">
      <alignment/>
      <protection/>
    </xf>
    <xf numFmtId="10" fontId="0" fillId="0" borderId="22" xfId="0" applyNumberFormat="1" applyFill="1" applyBorder="1" applyAlignment="1">
      <alignment/>
    </xf>
    <xf numFmtId="0" fontId="57" fillId="33" borderId="38" xfId="61" applyFont="1" applyFill="1" applyBorder="1" applyAlignment="1" applyProtection="1">
      <alignment horizontal="left" indent="2"/>
      <protection/>
    </xf>
    <xf numFmtId="172" fontId="48" fillId="33" borderId="0" xfId="61" applyNumberFormat="1" applyFont="1" applyFill="1" applyProtection="1">
      <alignment/>
      <protection/>
    </xf>
    <xf numFmtId="164" fontId="0" fillId="0" borderId="0" xfId="0" applyNumberFormat="1" applyBorder="1" applyAlignment="1">
      <alignment/>
    </xf>
    <xf numFmtId="164" fontId="0" fillId="0" borderId="0" xfId="0" applyNumberFormat="1" applyFill="1" applyBorder="1" applyAlignment="1">
      <alignment/>
    </xf>
    <xf numFmtId="10" fontId="0" fillId="0" borderId="0" xfId="0" applyNumberFormat="1" applyFill="1" applyBorder="1" applyAlignment="1">
      <alignment/>
    </xf>
    <xf numFmtId="4" fontId="0" fillId="0" borderId="0" xfId="0" applyNumberFormat="1" applyBorder="1" applyAlignment="1">
      <alignment/>
    </xf>
    <xf numFmtId="164" fontId="19" fillId="2" borderId="35" xfId="0" applyNumberFormat="1" applyFont="1" applyFill="1" applyBorder="1" applyAlignment="1">
      <alignment/>
    </xf>
    <xf numFmtId="171" fontId="1" fillId="33" borderId="48" xfId="61" applyNumberFormat="1" applyFont="1" applyFill="1" applyBorder="1" applyProtection="1">
      <alignment/>
      <protection/>
    </xf>
    <xf numFmtId="164" fontId="9" fillId="33" borderId="49" xfId="60" applyNumberFormat="1" applyFont="1" applyFill="1" applyBorder="1">
      <alignment/>
      <protection/>
    </xf>
    <xf numFmtId="164" fontId="9" fillId="33" borderId="50" xfId="60" applyNumberFormat="1" applyFont="1" applyFill="1" applyBorder="1">
      <alignment/>
      <protection/>
    </xf>
    <xf numFmtId="10" fontId="9" fillId="33" borderId="50" xfId="73" applyNumberFormat="1" applyFont="1" applyFill="1" applyBorder="1" applyAlignment="1">
      <alignment horizontal="center"/>
    </xf>
    <xf numFmtId="164" fontId="100" fillId="33" borderId="50" xfId="0" applyNumberFormat="1" applyFont="1" applyFill="1" applyBorder="1" applyAlignment="1">
      <alignment/>
    </xf>
    <xf numFmtId="164" fontId="19" fillId="2" borderId="50" xfId="0" applyNumberFormat="1" applyFont="1" applyFill="1" applyBorder="1" applyAlignment="1">
      <alignment/>
    </xf>
    <xf numFmtId="164" fontId="100" fillId="0" borderId="51" xfId="0" applyNumberFormat="1" applyFont="1" applyBorder="1" applyAlignment="1">
      <alignment/>
    </xf>
    <xf numFmtId="0" fontId="6" fillId="33" borderId="38" xfId="61" applyFont="1" applyFill="1" applyBorder="1" applyAlignment="1" applyProtection="1">
      <alignment horizontal="right" indent="1"/>
      <protection/>
    </xf>
    <xf numFmtId="0" fontId="6" fillId="33" borderId="38" xfId="61" applyFont="1" applyFill="1" applyBorder="1" applyAlignment="1" applyProtection="1">
      <alignment horizontal="left" indent="2"/>
      <protection/>
    </xf>
    <xf numFmtId="172" fontId="48" fillId="33" borderId="0" xfId="61" applyNumberFormat="1" applyFont="1" applyFill="1" applyBorder="1" applyProtection="1">
      <alignment/>
      <protection/>
    </xf>
    <xf numFmtId="164" fontId="0" fillId="0" borderId="52" xfId="0" applyNumberFormat="1" applyBorder="1" applyAlignment="1">
      <alignment/>
    </xf>
    <xf numFmtId="164" fontId="0" fillId="0" borderId="53" xfId="0" applyNumberFormat="1" applyFill="1" applyBorder="1" applyAlignment="1">
      <alignment/>
    </xf>
    <xf numFmtId="10" fontId="2" fillId="0" borderId="53" xfId="74" applyNumberFormat="1" applyFont="1" applyFill="1" applyBorder="1" applyAlignment="1">
      <alignment/>
    </xf>
    <xf numFmtId="4" fontId="0" fillId="0" borderId="54" xfId="0" applyNumberFormat="1" applyBorder="1" applyAlignment="1">
      <alignment/>
    </xf>
    <xf numFmtId="43" fontId="100" fillId="0" borderId="0" xfId="0" applyNumberFormat="1" applyFont="1" applyAlignment="1">
      <alignment/>
    </xf>
    <xf numFmtId="171" fontId="48" fillId="33" borderId="55" xfId="61" applyNumberFormat="1" applyFont="1" applyFill="1" applyBorder="1" applyProtection="1">
      <alignment/>
      <protection/>
    </xf>
    <xf numFmtId="171" fontId="48" fillId="33" borderId="0" xfId="61" applyNumberFormat="1" applyFont="1" applyFill="1" applyBorder="1" applyProtection="1">
      <alignment/>
      <protection/>
    </xf>
    <xf numFmtId="10" fontId="0" fillId="0" borderId="53" xfId="0" applyNumberFormat="1" applyFill="1" applyBorder="1" applyAlignment="1">
      <alignment/>
    </xf>
    <xf numFmtId="0" fontId="11" fillId="33" borderId="56" xfId="61" applyFont="1" applyFill="1" applyBorder="1" applyProtection="1">
      <alignment/>
      <protection/>
    </xf>
    <xf numFmtId="172" fontId="1" fillId="33" borderId="56" xfId="61" applyNumberFormat="1" applyFont="1" applyFill="1" applyBorder="1" applyProtection="1">
      <alignment/>
      <protection/>
    </xf>
    <xf numFmtId="171" fontId="48" fillId="33" borderId="0" xfId="61" applyNumberFormat="1" applyFont="1" applyFill="1" applyProtection="1">
      <alignment/>
      <protection/>
    </xf>
    <xf numFmtId="165" fontId="16" fillId="0" borderId="57" xfId="0" applyNumberFormat="1" applyFont="1" applyBorder="1" applyAlignment="1">
      <alignment/>
    </xf>
    <xf numFmtId="165" fontId="16" fillId="0" borderId="58" xfId="0" applyNumberFormat="1" applyFont="1" applyBorder="1" applyAlignment="1">
      <alignment/>
    </xf>
    <xf numFmtId="165" fontId="16" fillId="0" borderId="59" xfId="0" applyNumberFormat="1" applyFont="1" applyBorder="1" applyAlignment="1">
      <alignment/>
    </xf>
    <xf numFmtId="171" fontId="50" fillId="33" borderId="38" xfId="61" applyNumberFormat="1" applyFont="1" applyFill="1" applyBorder="1" applyProtection="1">
      <alignment/>
      <protection/>
    </xf>
    <xf numFmtId="167" fontId="19" fillId="2" borderId="50" xfId="0" applyNumberFormat="1" applyFont="1" applyFill="1" applyBorder="1" applyAlignment="1">
      <alignment/>
    </xf>
    <xf numFmtId="10" fontId="48" fillId="33" borderId="0" xfId="61" applyNumberFormat="1" applyFont="1" applyFill="1" applyProtection="1">
      <alignment/>
      <protection/>
    </xf>
    <xf numFmtId="164" fontId="2" fillId="0" borderId="52" xfId="0" applyNumberFormat="1" applyFont="1" applyBorder="1" applyAlignment="1">
      <alignment/>
    </xf>
    <xf numFmtId="164" fontId="2" fillId="0" borderId="53" xfId="0" applyNumberFormat="1" applyFont="1" applyBorder="1" applyAlignment="1">
      <alignment/>
    </xf>
    <xf numFmtId="10" fontId="0" fillId="0" borderId="53" xfId="0" applyNumberFormat="1" applyBorder="1" applyAlignment="1">
      <alignment/>
    </xf>
    <xf numFmtId="2" fontId="2" fillId="0" borderId="54" xfId="0" applyNumberFormat="1" applyFont="1" applyBorder="1" applyAlignment="1">
      <alignment horizontal="right"/>
    </xf>
    <xf numFmtId="172" fontId="48" fillId="33" borderId="60" xfId="61" applyNumberFormat="1" applyFont="1" applyFill="1" applyBorder="1" applyProtection="1">
      <alignment/>
      <protection/>
    </xf>
    <xf numFmtId="0" fontId="5" fillId="33" borderId="61" xfId="61" applyFont="1" applyFill="1" applyBorder="1">
      <alignment/>
      <protection/>
    </xf>
    <xf numFmtId="0" fontId="6" fillId="33" borderId="61" xfId="61" applyFont="1" applyFill="1" applyBorder="1">
      <alignment/>
      <protection/>
    </xf>
    <xf numFmtId="0" fontId="108" fillId="33" borderId="0" xfId="0" applyFont="1" applyFill="1" applyAlignment="1">
      <alignment/>
    </xf>
    <xf numFmtId="0" fontId="5" fillId="33" borderId="0" xfId="61" applyFont="1" applyFill="1" applyBorder="1" applyProtection="1">
      <alignment/>
      <protection/>
    </xf>
    <xf numFmtId="0" fontId="6" fillId="33" borderId="40" xfId="61" applyFont="1" applyFill="1" applyBorder="1" applyProtection="1">
      <alignment/>
      <protection/>
    </xf>
    <xf numFmtId="0" fontId="6" fillId="33" borderId="0" xfId="61" applyFont="1" applyFill="1" applyBorder="1" applyProtection="1">
      <alignment/>
      <protection/>
    </xf>
    <xf numFmtId="2" fontId="100" fillId="0" borderId="0" xfId="0" applyNumberFormat="1" applyFont="1" applyAlignment="1">
      <alignment/>
    </xf>
    <xf numFmtId="171" fontId="49" fillId="33" borderId="38" xfId="61" applyNumberFormat="1" applyFont="1" applyFill="1" applyBorder="1" applyAlignment="1" applyProtection="1">
      <alignment horizontal="left" indent="2"/>
      <protection/>
    </xf>
    <xf numFmtId="0" fontId="6" fillId="33" borderId="0" xfId="61" applyFont="1" applyFill="1" applyProtection="1">
      <alignment/>
      <protection/>
    </xf>
    <xf numFmtId="172" fontId="50" fillId="33" borderId="0" xfId="61" applyNumberFormat="1" applyFont="1" applyFill="1" applyBorder="1" applyProtection="1">
      <alignment/>
      <protection/>
    </xf>
    <xf numFmtId="171" fontId="42" fillId="33" borderId="38" xfId="61" applyNumberFormat="1" applyFont="1" applyFill="1" applyBorder="1" applyAlignment="1" applyProtection="1">
      <alignment horizontal="left" indent="2"/>
      <protection/>
    </xf>
    <xf numFmtId="172" fontId="48" fillId="3" borderId="41" xfId="61" applyNumberFormat="1" applyFont="1" applyFill="1" applyBorder="1" applyAlignment="1" applyProtection="1">
      <alignment/>
      <protection locked="0"/>
    </xf>
    <xf numFmtId="0" fontId="6" fillId="33" borderId="0" xfId="61" applyFont="1" applyFill="1">
      <alignment/>
      <protection/>
    </xf>
    <xf numFmtId="172" fontId="48" fillId="33" borderId="41" xfId="61" applyNumberFormat="1" applyFont="1" applyFill="1" applyBorder="1" applyAlignment="1" applyProtection="1">
      <alignment/>
      <protection locked="0"/>
    </xf>
    <xf numFmtId="165" fontId="16" fillId="33" borderId="23" xfId="0" applyNumberFormat="1" applyFont="1" applyFill="1" applyBorder="1" applyAlignment="1">
      <alignment/>
    </xf>
    <xf numFmtId="165" fontId="16" fillId="33" borderId="25" xfId="0" applyNumberFormat="1" applyFont="1" applyFill="1" applyBorder="1" applyAlignment="1">
      <alignment/>
    </xf>
    <xf numFmtId="171" fontId="50" fillId="33" borderId="38" xfId="61" applyNumberFormat="1" applyFont="1" applyFill="1" applyBorder="1" applyAlignment="1" applyProtection="1">
      <alignment horizontal="right"/>
      <protection/>
    </xf>
    <xf numFmtId="171" fontId="50" fillId="33" borderId="38" xfId="61" applyNumberFormat="1" applyFont="1" applyFill="1" applyBorder="1" applyAlignment="1" applyProtection="1">
      <alignment horizontal="center"/>
      <protection/>
    </xf>
    <xf numFmtId="0" fontId="19" fillId="2" borderId="62" xfId="0" applyFont="1" applyFill="1" applyBorder="1" applyAlignment="1" applyProtection="1">
      <alignment horizontal="center" vertical="center"/>
      <protection locked="0"/>
    </xf>
    <xf numFmtId="0" fontId="100" fillId="0" borderId="41" xfId="0" applyFont="1" applyBorder="1" applyAlignment="1">
      <alignment/>
    </xf>
    <xf numFmtId="171" fontId="50" fillId="33" borderId="38" xfId="61" applyNumberFormat="1" applyFont="1" applyFill="1" applyBorder="1" applyAlignment="1" applyProtection="1">
      <alignment horizontal="left"/>
      <protection/>
    </xf>
    <xf numFmtId="172" fontId="50" fillId="33" borderId="0" xfId="61" applyNumberFormat="1" applyFont="1" applyFill="1" applyBorder="1" applyAlignment="1" applyProtection="1">
      <alignment horizontal="right"/>
      <protection/>
    </xf>
    <xf numFmtId="164" fontId="19" fillId="2" borderId="63" xfId="48" applyNumberFormat="1" applyFont="1" applyFill="1" applyBorder="1" applyAlignment="1" applyProtection="1">
      <alignment horizontal="right" vertical="center"/>
      <protection locked="0"/>
    </xf>
    <xf numFmtId="164" fontId="19" fillId="2" borderId="64" xfId="0" applyNumberFormat="1" applyFont="1" applyFill="1" applyBorder="1" applyAlignment="1" applyProtection="1">
      <alignment horizontal="right" vertical="center"/>
      <protection locked="0"/>
    </xf>
    <xf numFmtId="173" fontId="19" fillId="2" borderId="65" xfId="72" applyNumberFormat="1" applyFont="1" applyFill="1" applyBorder="1" applyAlignment="1" applyProtection="1">
      <alignment horizontal="right" vertical="center"/>
      <protection locked="0"/>
    </xf>
    <xf numFmtId="164" fontId="19" fillId="2" borderId="66" xfId="0" applyNumberFormat="1" applyFont="1" applyFill="1" applyBorder="1" applyAlignment="1" applyProtection="1">
      <alignment horizontal="right" vertical="center"/>
      <protection locked="0"/>
    </xf>
    <xf numFmtId="164" fontId="19" fillId="2" borderId="67" xfId="0" applyNumberFormat="1" applyFont="1" applyFill="1" applyBorder="1" applyAlignment="1" applyProtection="1">
      <alignment horizontal="right" vertical="center"/>
      <protection locked="0"/>
    </xf>
    <xf numFmtId="9" fontId="19" fillId="2" borderId="68" xfId="72" applyFont="1" applyFill="1" applyBorder="1" applyAlignment="1" applyProtection="1">
      <alignment horizontal="right" vertical="center"/>
      <protection locked="0"/>
    </xf>
    <xf numFmtId="0" fontId="6" fillId="33" borderId="69" xfId="61" applyFont="1" applyFill="1" applyBorder="1" applyProtection="1">
      <alignment/>
      <protection/>
    </xf>
    <xf numFmtId="0" fontId="5" fillId="33" borderId="70" xfId="61" applyFont="1" applyFill="1" applyBorder="1" applyProtection="1">
      <alignment/>
      <protection/>
    </xf>
    <xf numFmtId="171" fontId="50" fillId="33" borderId="69" xfId="61" applyNumberFormat="1" applyFont="1" applyFill="1" applyBorder="1" applyProtection="1">
      <alignment/>
      <protection/>
    </xf>
    <xf numFmtId="171" fontId="6" fillId="33" borderId="71" xfId="61" applyNumberFormat="1" applyFont="1" applyFill="1" applyBorder="1" applyAlignment="1" applyProtection="1">
      <alignment horizontal="left" indent="2"/>
      <protection/>
    </xf>
    <xf numFmtId="172" fontId="50" fillId="33" borderId="72" xfId="61" applyNumberFormat="1" applyFont="1" applyFill="1" applyBorder="1" applyProtection="1">
      <alignment/>
      <protection/>
    </xf>
    <xf numFmtId="172" fontId="48" fillId="33" borderId="72" xfId="61" applyNumberFormat="1" applyFont="1" applyFill="1" applyBorder="1" applyProtection="1">
      <alignment/>
      <protection/>
    </xf>
    <xf numFmtId="0" fontId="5" fillId="33" borderId="61" xfId="61" applyFont="1" applyFill="1" applyBorder="1" applyProtection="1">
      <alignment/>
      <protection/>
    </xf>
    <xf numFmtId="0" fontId="100" fillId="0" borderId="70" xfId="0" applyFont="1" applyBorder="1" applyAlignment="1">
      <alignment/>
    </xf>
    <xf numFmtId="0" fontId="19" fillId="2" borderId="0" xfId="0" applyFont="1" applyFill="1" applyBorder="1" applyAlignment="1" applyProtection="1">
      <alignment horizontal="center" vertical="center"/>
      <protection locked="0"/>
    </xf>
    <xf numFmtId="0" fontId="6" fillId="33" borderId="61" xfId="61" applyFont="1" applyFill="1" applyBorder="1" applyProtection="1">
      <alignment/>
      <protection/>
    </xf>
    <xf numFmtId="10" fontId="5" fillId="33" borderId="0" xfId="72" applyNumberFormat="1" applyFont="1" applyFill="1" applyBorder="1" applyAlignment="1" applyProtection="1">
      <alignment/>
      <protection/>
    </xf>
    <xf numFmtId="164" fontId="19" fillId="2" borderId="0" xfId="48" applyNumberFormat="1" applyFont="1" applyFill="1" applyBorder="1" applyAlignment="1" applyProtection="1">
      <alignment horizontal="right" vertical="center"/>
      <protection locked="0"/>
    </xf>
    <xf numFmtId="7" fontId="19" fillId="2" borderId="0" xfId="48" applyNumberFormat="1" applyFont="1" applyFill="1" applyBorder="1" applyAlignment="1" applyProtection="1">
      <alignment horizontal="center" vertical="center"/>
      <protection locked="0"/>
    </xf>
    <xf numFmtId="173" fontId="19" fillId="2" borderId="0" xfId="72" applyNumberFormat="1" applyFont="1" applyFill="1" applyBorder="1" applyAlignment="1" applyProtection="1">
      <alignment horizontal="right" vertical="center"/>
      <protection locked="0"/>
    </xf>
    <xf numFmtId="164" fontId="19" fillId="2" borderId="0" xfId="0" applyNumberFormat="1" applyFont="1" applyFill="1" applyBorder="1" applyAlignment="1" applyProtection="1">
      <alignment horizontal="right" vertical="center"/>
      <protection locked="0"/>
    </xf>
    <xf numFmtId="0" fontId="5" fillId="33" borderId="0" xfId="61" applyFont="1" applyFill="1" applyBorder="1">
      <alignment/>
      <protection/>
    </xf>
    <xf numFmtId="3" fontId="5" fillId="33" borderId="0" xfId="61" applyNumberFormat="1" applyFont="1" applyFill="1" applyBorder="1" applyProtection="1">
      <alignment/>
      <protection/>
    </xf>
    <xf numFmtId="172" fontId="50" fillId="33" borderId="73" xfId="61" applyNumberFormat="1" applyFont="1" applyFill="1" applyBorder="1" applyProtection="1">
      <alignment/>
      <protection/>
    </xf>
    <xf numFmtId="9" fontId="19" fillId="2" borderId="0" xfId="72" applyFont="1" applyFill="1" applyBorder="1" applyAlignment="1" applyProtection="1">
      <alignment horizontal="right" vertical="center"/>
      <protection locked="0"/>
    </xf>
    <xf numFmtId="0" fontId="6" fillId="33" borderId="74" xfId="61" applyFont="1" applyFill="1" applyBorder="1" applyProtection="1">
      <alignment/>
      <protection/>
    </xf>
    <xf numFmtId="0" fontId="5" fillId="33" borderId="72" xfId="61" applyFont="1" applyFill="1" applyBorder="1" applyProtection="1">
      <alignment/>
      <protection/>
    </xf>
    <xf numFmtId="0" fontId="100" fillId="0" borderId="75" xfId="0" applyFont="1" applyBorder="1" applyAlignment="1">
      <alignment/>
    </xf>
    <xf numFmtId="43" fontId="9" fillId="3" borderId="41" xfId="42" applyFont="1" applyFill="1" applyBorder="1" applyAlignment="1" applyProtection="1">
      <alignment horizontal="left" vertical="center"/>
      <protection locked="0"/>
    </xf>
    <xf numFmtId="0" fontId="57" fillId="33" borderId="0" xfId="61" applyFont="1" applyFill="1" applyBorder="1" applyAlignment="1" applyProtection="1">
      <alignment vertical="center"/>
      <protection/>
    </xf>
    <xf numFmtId="0" fontId="6" fillId="33" borderId="0" xfId="61" applyFont="1" applyFill="1" applyBorder="1" applyAlignment="1" applyProtection="1">
      <alignment horizontal="right"/>
      <protection/>
    </xf>
    <xf numFmtId="174" fontId="9" fillId="38" borderId="41" xfId="42" applyNumberFormat="1" applyFont="1" applyFill="1" applyBorder="1" applyAlignment="1" applyProtection="1">
      <alignment horizontal="left" vertical="center"/>
      <protection locked="0"/>
    </xf>
    <xf numFmtId="0" fontId="6" fillId="33" borderId="0" xfId="61" applyFont="1" applyFill="1" applyAlignment="1" applyProtection="1">
      <alignment horizontal="right"/>
      <protection/>
    </xf>
    <xf numFmtId="174" fontId="9" fillId="3" borderId="41" xfId="42" applyNumberFormat="1" applyFont="1" applyFill="1" applyBorder="1" applyAlignment="1" applyProtection="1">
      <alignment horizontal="left" vertical="center"/>
      <protection locked="0"/>
    </xf>
    <xf numFmtId="0" fontId="6" fillId="33" borderId="0" xfId="61" applyFont="1" applyFill="1" applyAlignment="1" applyProtection="1">
      <alignment horizontal="left" vertical="center"/>
      <protection/>
    </xf>
    <xf numFmtId="174" fontId="9" fillId="33" borderId="0" xfId="42" applyNumberFormat="1" applyFont="1" applyFill="1" applyBorder="1" applyAlignment="1" applyProtection="1">
      <alignment horizontal="left" vertical="center"/>
      <protection locked="0"/>
    </xf>
    <xf numFmtId="0" fontId="6" fillId="33" borderId="0" xfId="61" applyFont="1" applyFill="1" applyBorder="1" applyAlignment="1" applyProtection="1">
      <alignment horizontal="left" vertical="center"/>
      <protection/>
    </xf>
    <xf numFmtId="43" fontId="9" fillId="33" borderId="0" xfId="42" applyFont="1" applyFill="1" applyBorder="1" applyAlignment="1" applyProtection="1">
      <alignment horizontal="left" vertical="center"/>
      <protection locked="0"/>
    </xf>
    <xf numFmtId="0" fontId="0" fillId="0" borderId="0" xfId="0" applyAlignment="1" applyProtection="1">
      <alignment/>
      <protection locked="0"/>
    </xf>
    <xf numFmtId="0" fontId="19" fillId="0" borderId="0" xfId="0" applyFont="1" applyAlignment="1" applyProtection="1">
      <alignment/>
      <protection locked="0"/>
    </xf>
    <xf numFmtId="171" fontId="19" fillId="0" borderId="0" xfId="60" applyNumberFormat="1" applyFont="1" applyProtection="1">
      <alignment/>
      <protection locked="0"/>
    </xf>
    <xf numFmtId="171" fontId="21" fillId="0" borderId="0" xfId="60" applyNumberFormat="1" applyFont="1" applyAlignment="1" applyProtection="1">
      <alignment horizontal="center"/>
      <protection locked="0"/>
    </xf>
    <xf numFmtId="0" fontId="19" fillId="0" borderId="0" xfId="0" applyNumberFormat="1" applyFont="1" applyAlignment="1" applyProtection="1">
      <alignment horizontal="center"/>
      <protection locked="0"/>
    </xf>
    <xf numFmtId="0" fontId="19" fillId="36" borderId="0" xfId="0" applyNumberFormat="1" applyFont="1" applyFill="1" applyAlignment="1" applyProtection="1">
      <alignment horizontal="center"/>
      <protection locked="0"/>
    </xf>
    <xf numFmtId="164" fontId="19" fillId="39" borderId="76" xfId="60" applyNumberFormat="1" applyFont="1" applyFill="1" applyBorder="1" applyProtection="1">
      <alignment/>
      <protection locked="0"/>
    </xf>
    <xf numFmtId="0" fontId="116" fillId="0" borderId="0" xfId="0" applyFont="1" applyAlignment="1" applyProtection="1">
      <alignment/>
      <protection locked="0"/>
    </xf>
    <xf numFmtId="0" fontId="21" fillId="0" borderId="0" xfId="0" applyFont="1" applyAlignment="1" applyProtection="1">
      <alignment/>
      <protection locked="0"/>
    </xf>
    <xf numFmtId="171" fontId="21" fillId="0" borderId="0" xfId="60" applyNumberFormat="1" applyFont="1" applyProtection="1">
      <alignment/>
      <protection locked="0"/>
    </xf>
    <xf numFmtId="164" fontId="21" fillId="39" borderId="76" xfId="60" applyNumberFormat="1" applyFont="1" applyFill="1" applyBorder="1" applyProtection="1">
      <alignment/>
      <protection locked="0"/>
    </xf>
    <xf numFmtId="164" fontId="21" fillId="0" borderId="0" xfId="0" applyNumberFormat="1" applyFont="1" applyAlignment="1" applyProtection="1">
      <alignment/>
      <protection locked="0"/>
    </xf>
    <xf numFmtId="164" fontId="19" fillId="0" borderId="0" xfId="60" applyNumberFormat="1" applyFont="1" applyFill="1" applyBorder="1" applyProtection="1">
      <alignment/>
      <protection locked="0"/>
    </xf>
    <xf numFmtId="0" fontId="19" fillId="38" borderId="0" xfId="0" applyNumberFormat="1" applyFont="1" applyFill="1" applyAlignment="1" applyProtection="1">
      <alignment horizontal="center"/>
      <protection locked="0"/>
    </xf>
    <xf numFmtId="0" fontId="19" fillId="0" borderId="0" xfId="0" applyFont="1" applyAlignment="1" applyProtection="1">
      <alignment horizontal="center"/>
      <protection locked="0"/>
    </xf>
    <xf numFmtId="164" fontId="19" fillId="39" borderId="41" xfId="60" applyNumberFormat="1" applyFont="1" applyFill="1" applyBorder="1" applyProtection="1">
      <alignment/>
      <protection locked="0"/>
    </xf>
    <xf numFmtId="10" fontId="19" fillId="39" borderId="41" xfId="72" applyNumberFormat="1" applyFont="1" applyFill="1" applyBorder="1" applyAlignment="1" applyProtection="1">
      <alignment/>
      <protection locked="0"/>
    </xf>
    <xf numFmtId="164" fontId="100" fillId="0" borderId="0" xfId="0" applyNumberFormat="1" applyFont="1" applyAlignment="1">
      <alignment/>
    </xf>
    <xf numFmtId="164" fontId="19" fillId="38" borderId="41" xfId="60" applyNumberFormat="1" applyFont="1" applyFill="1" applyBorder="1" applyProtection="1">
      <alignment/>
      <protection locked="0"/>
    </xf>
    <xf numFmtId="171" fontId="21" fillId="40" borderId="62" xfId="60" applyNumberFormat="1" applyFont="1" applyFill="1" applyBorder="1" applyAlignment="1" applyProtection="1">
      <alignment horizontal="left"/>
      <protection locked="0"/>
    </xf>
    <xf numFmtId="0" fontId="19" fillId="40" borderId="77" xfId="0" applyFont="1" applyFill="1" applyBorder="1" applyAlignment="1" applyProtection="1">
      <alignment/>
      <protection locked="0"/>
    </xf>
    <xf numFmtId="0" fontId="19" fillId="40" borderId="78" xfId="0" applyFont="1" applyFill="1" applyBorder="1" applyAlignment="1" applyProtection="1">
      <alignment/>
      <protection locked="0"/>
    </xf>
    <xf numFmtId="0" fontId="21" fillId="0" borderId="41" xfId="0" applyNumberFormat="1" applyFont="1" applyBorder="1" applyAlignment="1" applyProtection="1">
      <alignment horizontal="center"/>
      <protection locked="0"/>
    </xf>
    <xf numFmtId="0" fontId="21" fillId="0" borderId="79" xfId="0" applyNumberFormat="1" applyFont="1" applyBorder="1" applyAlignment="1" applyProtection="1">
      <alignment horizontal="center"/>
      <protection locked="0"/>
    </xf>
    <xf numFmtId="164" fontId="19" fillId="0" borderId="0" xfId="0" applyNumberFormat="1" applyFont="1" applyAlignment="1" applyProtection="1">
      <alignment/>
      <protection locked="0"/>
    </xf>
    <xf numFmtId="164" fontId="21" fillId="39" borderId="62" xfId="60" applyNumberFormat="1" applyFont="1" applyFill="1" applyBorder="1" applyProtection="1">
      <alignment/>
      <protection locked="0"/>
    </xf>
    <xf numFmtId="171" fontId="21" fillId="40" borderId="62" xfId="60" applyNumberFormat="1" applyFont="1" applyFill="1" applyBorder="1" applyAlignment="1" applyProtection="1">
      <alignment horizontal="center"/>
      <protection locked="0"/>
    </xf>
    <xf numFmtId="0" fontId="22" fillId="0" borderId="0" xfId="0" applyFont="1" applyBorder="1" applyAlignment="1" applyProtection="1">
      <alignment horizontal="center" vertical="center" textRotation="90" wrapText="1"/>
      <protection locked="0"/>
    </xf>
    <xf numFmtId="0" fontId="100" fillId="38" borderId="0" xfId="0" applyFont="1" applyFill="1" applyAlignment="1">
      <alignment/>
    </xf>
    <xf numFmtId="0" fontId="117" fillId="0" borderId="0" xfId="0" applyFont="1" applyAlignment="1">
      <alignment/>
    </xf>
    <xf numFmtId="164" fontId="19" fillId="39" borderId="0" xfId="60" applyNumberFormat="1" applyFont="1" applyFill="1" applyBorder="1" applyProtection="1">
      <alignment/>
      <protection locked="0"/>
    </xf>
    <xf numFmtId="0" fontId="19" fillId="0" borderId="0" xfId="0" applyFont="1" applyAlignment="1" applyProtection="1">
      <alignment/>
      <protection locked="0"/>
    </xf>
    <xf numFmtId="0" fontId="118" fillId="0" borderId="0" xfId="0" applyFont="1" applyAlignment="1">
      <alignment/>
    </xf>
    <xf numFmtId="0" fontId="98" fillId="0" borderId="0" xfId="0" applyFont="1" applyAlignment="1">
      <alignment/>
    </xf>
    <xf numFmtId="0" fontId="23" fillId="33" borderId="41" xfId="61" applyFont="1" applyFill="1" applyBorder="1">
      <alignment/>
      <protection/>
    </xf>
    <xf numFmtId="0" fontId="118" fillId="0" borderId="41" xfId="0" applyFont="1" applyBorder="1" applyAlignment="1">
      <alignment/>
    </xf>
    <xf numFmtId="0" fontId="19" fillId="33" borderId="0" xfId="0" applyFont="1" applyFill="1" applyBorder="1" applyAlignment="1" applyProtection="1">
      <alignment/>
      <protection locked="0"/>
    </xf>
    <xf numFmtId="0" fontId="23" fillId="33" borderId="0" xfId="0" applyFont="1" applyFill="1" applyBorder="1" applyAlignment="1" applyProtection="1">
      <alignment/>
      <protection locked="0"/>
    </xf>
    <xf numFmtId="0" fontId="117" fillId="0" borderId="41" xfId="0" applyFont="1" applyBorder="1" applyAlignment="1">
      <alignment/>
    </xf>
    <xf numFmtId="0" fontId="116" fillId="33" borderId="0" xfId="0" applyFont="1" applyFill="1" applyBorder="1" applyAlignment="1" applyProtection="1">
      <alignment/>
      <protection locked="0"/>
    </xf>
    <xf numFmtId="4" fontId="100" fillId="0" borderId="41" xfId="0" applyNumberFormat="1" applyFont="1" applyBorder="1" applyAlignment="1">
      <alignment/>
    </xf>
    <xf numFmtId="0" fontId="109" fillId="33" borderId="0" xfId="0" applyFont="1" applyFill="1" applyBorder="1" applyAlignment="1" applyProtection="1">
      <alignment/>
      <protection locked="0"/>
    </xf>
    <xf numFmtId="174" fontId="100" fillId="11" borderId="0" xfId="0" applyNumberFormat="1" applyFont="1" applyFill="1" applyAlignment="1">
      <alignment/>
    </xf>
    <xf numFmtId="9" fontId="100" fillId="33" borderId="0" xfId="72" applyFont="1" applyFill="1" applyAlignment="1">
      <alignment/>
    </xf>
    <xf numFmtId="0" fontId="100" fillId="33" borderId="0" xfId="0" applyFont="1" applyFill="1" applyBorder="1" applyAlignment="1" applyProtection="1">
      <alignment/>
      <protection locked="0"/>
    </xf>
    <xf numFmtId="0" fontId="5" fillId="33" borderId="0" xfId="0" applyFont="1" applyFill="1" applyBorder="1" applyAlignment="1" applyProtection="1">
      <alignment horizontal="left" vertical="center" wrapText="1"/>
      <protection locked="0"/>
    </xf>
    <xf numFmtId="0" fontId="5" fillId="11" borderId="41" xfId="0" applyFont="1" applyFill="1" applyBorder="1" applyAlignment="1" applyProtection="1">
      <alignment horizontal="left" vertical="center" wrapText="1"/>
      <protection locked="0"/>
    </xf>
    <xf numFmtId="174" fontId="5" fillId="11" borderId="41" xfId="0" applyNumberFormat="1" applyFont="1" applyFill="1" applyBorder="1" applyAlignment="1" applyProtection="1">
      <alignment horizontal="left" vertical="center" wrapText="1"/>
      <protection locked="0"/>
    </xf>
    <xf numFmtId="0" fontId="5" fillId="33" borderId="0" xfId="0" applyFont="1" applyFill="1" applyBorder="1" applyAlignment="1" applyProtection="1">
      <alignment vertical="center" wrapText="1"/>
      <protection locked="0"/>
    </xf>
    <xf numFmtId="0" fontId="5" fillId="11" borderId="41" xfId="0" applyFont="1" applyFill="1" applyBorder="1" applyAlignment="1" applyProtection="1">
      <alignment vertical="center" wrapText="1"/>
      <protection locked="0"/>
    </xf>
    <xf numFmtId="174" fontId="5" fillId="11" borderId="41" xfId="0" applyNumberFormat="1" applyFont="1" applyFill="1" applyBorder="1" applyAlignment="1" applyProtection="1">
      <alignment vertical="center" wrapText="1"/>
      <protection locked="0"/>
    </xf>
    <xf numFmtId="4" fontId="100" fillId="0" borderId="0" xfId="0" applyNumberFormat="1" applyFont="1" applyBorder="1" applyAlignment="1">
      <alignment/>
    </xf>
    <xf numFmtId="0" fontId="119" fillId="22" borderId="0" xfId="64" applyFont="1" applyFill="1" applyBorder="1" applyAlignment="1" applyProtection="1">
      <alignment horizontal="left" vertical="center"/>
      <protection hidden="1"/>
    </xf>
    <xf numFmtId="0" fontId="119" fillId="22" borderId="80" xfId="64" applyFont="1" applyFill="1" applyBorder="1" applyAlignment="1" applyProtection="1">
      <alignment horizontal="center" vertical="center" wrapText="1"/>
      <protection hidden="1"/>
    </xf>
    <xf numFmtId="169" fontId="120" fillId="33" borderId="81" xfId="64" applyNumberFormat="1" applyFont="1" applyFill="1" applyBorder="1" applyAlignment="1" applyProtection="1">
      <alignment horizontal="left" wrapText="1"/>
      <protection hidden="1"/>
    </xf>
    <xf numFmtId="170" fontId="108" fillId="33" borderId="82" xfId="64" applyNumberFormat="1" applyFont="1" applyFill="1" applyBorder="1" applyAlignment="1" applyProtection="1">
      <alignment wrapText="1"/>
      <protection hidden="1"/>
    </xf>
    <xf numFmtId="164" fontId="100" fillId="33" borderId="83" xfId="64" applyNumberFormat="1" applyFont="1" applyFill="1" applyBorder="1" applyAlignment="1" applyProtection="1">
      <alignment horizontal="left"/>
      <protection hidden="1"/>
    </xf>
    <xf numFmtId="170" fontId="100" fillId="33" borderId="84" xfId="64" applyNumberFormat="1" applyFont="1" applyFill="1" applyBorder="1" applyAlignment="1" applyProtection="1">
      <alignment/>
      <protection hidden="1"/>
    </xf>
    <xf numFmtId="10" fontId="100" fillId="33" borderId="83" xfId="72" applyNumberFormat="1" applyFont="1" applyFill="1" applyBorder="1" applyAlignment="1" applyProtection="1">
      <alignment horizontal="left"/>
      <protection hidden="1"/>
    </xf>
    <xf numFmtId="168" fontId="100" fillId="33" borderId="83" xfId="64" applyNumberFormat="1" applyFont="1" applyFill="1" applyBorder="1" applyAlignment="1" applyProtection="1">
      <alignment horizontal="left"/>
      <protection hidden="1"/>
    </xf>
    <xf numFmtId="164" fontId="100" fillId="33" borderId="81" xfId="64" applyNumberFormat="1" applyFont="1" applyFill="1" applyBorder="1" applyAlignment="1" applyProtection="1">
      <alignment horizontal="left"/>
      <protection hidden="1"/>
    </xf>
    <xf numFmtId="10" fontId="100" fillId="33" borderId="83" xfId="72" applyNumberFormat="1" applyFont="1" applyFill="1" applyBorder="1" applyAlignment="1" applyProtection="1">
      <alignment horizontal="left"/>
      <protection hidden="1"/>
    </xf>
    <xf numFmtId="164" fontId="120" fillId="33" borderId="83" xfId="64" applyNumberFormat="1" applyFont="1" applyFill="1" applyBorder="1" applyAlignment="1" applyProtection="1">
      <alignment horizontal="left"/>
      <protection hidden="1"/>
    </xf>
    <xf numFmtId="170" fontId="108" fillId="33" borderId="84" xfId="64" applyNumberFormat="1" applyFont="1" applyFill="1" applyBorder="1" applyAlignment="1" applyProtection="1">
      <alignment wrapText="1"/>
      <protection hidden="1"/>
    </xf>
    <xf numFmtId="10" fontId="100" fillId="33" borderId="84" xfId="72" applyNumberFormat="1" applyFont="1" applyFill="1" applyBorder="1" applyAlignment="1" applyProtection="1">
      <alignment/>
      <protection hidden="1"/>
    </xf>
    <xf numFmtId="0" fontId="121" fillId="36" borderId="0" xfId="64" applyFont="1" applyFill="1" applyBorder="1" applyAlignment="1" applyProtection="1">
      <alignment horizontal="left" vertical="center" wrapText="1"/>
      <protection hidden="1"/>
    </xf>
    <xf numFmtId="0" fontId="121" fillId="33" borderId="0" xfId="64" applyFont="1" applyFill="1" applyBorder="1" applyAlignment="1" applyProtection="1">
      <alignment horizontal="left" vertical="center" wrapText="1"/>
      <protection hidden="1"/>
    </xf>
    <xf numFmtId="0" fontId="121" fillId="36" borderId="0" xfId="64" applyFont="1" applyFill="1" applyBorder="1" applyAlignment="1" applyProtection="1">
      <alignment horizontal="left" vertical="center"/>
      <protection hidden="1"/>
    </xf>
    <xf numFmtId="0" fontId="121" fillId="36" borderId="13" xfId="64" applyFont="1" applyFill="1" applyBorder="1" applyAlignment="1" applyProtection="1">
      <alignment horizontal="left" vertical="center"/>
      <protection hidden="1"/>
    </xf>
    <xf numFmtId="0" fontId="122" fillId="33" borderId="0" xfId="64" applyFont="1" applyFill="1" applyBorder="1" applyAlignment="1" applyProtection="1">
      <alignment horizontal="center" vertical="center" textRotation="90"/>
      <protection hidden="1"/>
    </xf>
    <xf numFmtId="167" fontId="85" fillId="33" borderId="0" xfId="69" applyFill="1" applyBorder="1" applyProtection="1">
      <alignment/>
      <protection hidden="1"/>
    </xf>
    <xf numFmtId="167" fontId="100" fillId="33" borderId="0" xfId="66" applyNumberFormat="1" applyFont="1" applyFill="1" applyProtection="1">
      <alignment/>
      <protection hidden="1" locked="0"/>
    </xf>
    <xf numFmtId="0" fontId="100" fillId="33" borderId="0" xfId="66" applyFont="1" applyFill="1" applyProtection="1">
      <alignment/>
      <protection hidden="1" locked="0"/>
    </xf>
    <xf numFmtId="0" fontId="100" fillId="33" borderId="0" xfId="64" applyFont="1" applyFill="1" applyBorder="1" applyProtection="1">
      <alignment/>
      <protection hidden="1" locked="0"/>
    </xf>
    <xf numFmtId="167" fontId="85" fillId="33" borderId="85" xfId="69" applyFill="1" applyBorder="1" applyProtection="1">
      <alignment/>
      <protection hidden="1" locked="0"/>
    </xf>
    <xf numFmtId="0" fontId="104" fillId="33" borderId="0" xfId="64" applyFont="1" applyFill="1" applyBorder="1" applyAlignment="1" applyProtection="1">
      <alignment/>
      <protection hidden="1" locked="0"/>
    </xf>
    <xf numFmtId="167" fontId="85" fillId="33" borderId="0" xfId="69" applyFill="1" applyProtection="1">
      <alignment/>
      <protection hidden="1" locked="0"/>
    </xf>
    <xf numFmtId="167" fontId="123" fillId="33" borderId="0" xfId="66" applyNumberFormat="1" applyFont="1" applyFill="1" applyBorder="1" applyAlignment="1" applyProtection="1">
      <alignment horizontal="left" vertical="top"/>
      <protection hidden="1" locked="0"/>
    </xf>
    <xf numFmtId="0" fontId="100" fillId="33" borderId="0" xfId="64" applyFont="1" applyFill="1" applyBorder="1" applyAlignment="1" applyProtection="1" quotePrefix="1">
      <alignment horizontal="right"/>
      <protection hidden="1" locked="0"/>
    </xf>
    <xf numFmtId="0" fontId="101" fillId="20" borderId="0" xfId="64" applyFont="1" applyFill="1" applyBorder="1" applyAlignment="1" applyProtection="1">
      <alignment vertical="center"/>
      <protection hidden="1" locked="0"/>
    </xf>
    <xf numFmtId="0" fontId="100" fillId="3" borderId="0" xfId="64" applyFont="1" applyFill="1" applyBorder="1" applyProtection="1">
      <alignment/>
      <protection hidden="1" locked="0"/>
    </xf>
    <xf numFmtId="167" fontId="100" fillId="33" borderId="0" xfId="66" applyNumberFormat="1" applyFont="1" applyFill="1" applyAlignment="1" applyProtection="1">
      <alignment horizontal="left" vertical="center"/>
      <protection hidden="1" locked="0"/>
    </xf>
    <xf numFmtId="0" fontId="100" fillId="3" borderId="0" xfId="64" applyFont="1" applyFill="1" applyBorder="1" applyAlignment="1" applyProtection="1">
      <alignment horizontal="left" vertical="center"/>
      <protection hidden="1" locked="0"/>
    </xf>
    <xf numFmtId="0" fontId="100" fillId="33" borderId="0" xfId="64" applyFont="1" applyFill="1" applyBorder="1" applyAlignment="1" applyProtection="1">
      <alignment horizontal="left" vertical="center"/>
      <protection hidden="1" locked="0"/>
    </xf>
    <xf numFmtId="0" fontId="100" fillId="33" borderId="0" xfId="66" applyFont="1" applyFill="1" applyAlignment="1" applyProtection="1">
      <alignment horizontal="left" vertical="center"/>
      <protection hidden="1" locked="0"/>
    </xf>
    <xf numFmtId="167" fontId="100" fillId="33" borderId="0" xfId="66" applyNumberFormat="1" applyFont="1" applyFill="1" applyAlignment="1" applyProtection="1">
      <alignment horizontal="left" vertical="top"/>
      <protection hidden="1" locked="0"/>
    </xf>
    <xf numFmtId="0" fontId="100" fillId="3" borderId="0" xfId="64" applyFont="1" applyFill="1" applyBorder="1" applyAlignment="1" applyProtection="1">
      <alignment horizontal="left" vertical="top"/>
      <protection hidden="1" locked="0"/>
    </xf>
    <xf numFmtId="0" fontId="100" fillId="33" borderId="0" xfId="64" applyFont="1" applyFill="1" applyBorder="1" applyAlignment="1" applyProtection="1">
      <alignment horizontal="left" vertical="top"/>
      <protection hidden="1" locked="0"/>
    </xf>
    <xf numFmtId="0" fontId="100" fillId="33" borderId="0" xfId="66" applyFont="1" applyFill="1" applyAlignment="1" applyProtection="1">
      <alignment horizontal="left" vertical="top"/>
      <protection hidden="1" locked="0"/>
    </xf>
    <xf numFmtId="167" fontId="100" fillId="33" borderId="0" xfId="66" applyNumberFormat="1" applyFont="1" applyFill="1" applyAlignment="1" applyProtection="1">
      <alignment vertical="center"/>
      <protection hidden="1" locked="0"/>
    </xf>
    <xf numFmtId="0" fontId="100" fillId="33" borderId="0" xfId="64" applyFont="1" applyFill="1" applyBorder="1" applyAlignment="1" applyProtection="1">
      <alignment vertical="center"/>
      <protection hidden="1" locked="0"/>
    </xf>
    <xf numFmtId="0" fontId="108" fillId="33" borderId="0" xfId="64" applyFont="1" applyFill="1" applyBorder="1" applyAlignment="1" applyProtection="1">
      <alignment horizontal="center" vertical="center"/>
      <protection hidden="1" locked="0"/>
    </xf>
    <xf numFmtId="0" fontId="124" fillId="33" borderId="0" xfId="66" applyFont="1" applyFill="1" applyBorder="1" applyAlignment="1" applyProtection="1">
      <alignment horizontal="center" vertical="center" wrapText="1"/>
      <protection hidden="1" locked="0"/>
    </xf>
    <xf numFmtId="0" fontId="100" fillId="33" borderId="0" xfId="66" applyFont="1" applyFill="1" applyAlignment="1" applyProtection="1">
      <alignment vertical="center"/>
      <protection hidden="1" locked="0"/>
    </xf>
    <xf numFmtId="167" fontId="103" fillId="33" borderId="0" xfId="66" applyNumberFormat="1" applyFont="1" applyFill="1" applyProtection="1">
      <alignment/>
      <protection hidden="1" locked="0"/>
    </xf>
    <xf numFmtId="0" fontId="101" fillId="20" borderId="17" xfId="64" applyFont="1" applyFill="1" applyBorder="1" applyAlignment="1" applyProtection="1">
      <alignment vertical="center"/>
      <protection hidden="1" locked="0"/>
    </xf>
    <xf numFmtId="0" fontId="103" fillId="33" borderId="0" xfId="64" applyFont="1" applyFill="1" applyBorder="1" applyProtection="1">
      <alignment/>
      <protection hidden="1" locked="0"/>
    </xf>
    <xf numFmtId="0" fontId="103" fillId="33" borderId="0" xfId="66" applyFont="1" applyFill="1" applyProtection="1">
      <alignment/>
      <protection hidden="1" locked="0"/>
    </xf>
    <xf numFmtId="0" fontId="102" fillId="3" borderId="0" xfId="64" applyFont="1" applyFill="1" applyBorder="1" applyAlignment="1" applyProtection="1">
      <alignment horizontal="left" vertical="center"/>
      <protection hidden="1" locked="0"/>
    </xf>
    <xf numFmtId="0" fontId="102" fillId="3" borderId="86" xfId="64" applyFont="1" applyFill="1" applyBorder="1" applyAlignment="1" applyProtection="1">
      <alignment vertical="center"/>
      <protection hidden="1" locked="0"/>
    </xf>
    <xf numFmtId="0" fontId="100" fillId="33" borderId="0" xfId="66" applyFont="1" applyFill="1" applyBorder="1" applyProtection="1">
      <alignment/>
      <protection hidden="1" locked="0"/>
    </xf>
    <xf numFmtId="164" fontId="100" fillId="35" borderId="10" xfId="64" applyNumberFormat="1" applyFont="1" applyFill="1" applyBorder="1" applyAlignment="1" applyProtection="1">
      <alignment horizontal="center" vertical="center"/>
      <protection hidden="1" locked="0"/>
    </xf>
    <xf numFmtId="0" fontId="108" fillId="33" borderId="0" xfId="66" applyFont="1" applyFill="1" applyBorder="1" applyProtection="1">
      <alignment/>
      <protection hidden="1" locked="0"/>
    </xf>
    <xf numFmtId="0" fontId="100" fillId="3" borderId="13" xfId="64" applyFont="1" applyFill="1" applyBorder="1" applyAlignment="1" applyProtection="1">
      <alignment horizontal="left" vertical="center"/>
      <protection hidden="1" locked="0"/>
    </xf>
    <xf numFmtId="0" fontId="100" fillId="3" borderId="14" xfId="64" applyFont="1" applyFill="1" applyBorder="1" applyAlignment="1" applyProtection="1">
      <alignment horizontal="left" vertical="center"/>
      <protection hidden="1" locked="0"/>
    </xf>
    <xf numFmtId="0" fontId="100" fillId="3" borderId="12" xfId="64" applyFont="1" applyFill="1" applyBorder="1" applyAlignment="1" applyProtection="1">
      <alignment horizontal="left" vertical="center"/>
      <protection hidden="1" locked="0"/>
    </xf>
    <xf numFmtId="0" fontId="102" fillId="33" borderId="0" xfId="66" applyFont="1" applyFill="1" applyBorder="1" applyProtection="1">
      <alignment/>
      <protection hidden="1" locked="0"/>
    </xf>
    <xf numFmtId="0" fontId="101" fillId="37" borderId="18" xfId="64" applyFont="1" applyFill="1" applyBorder="1" applyAlignment="1" applyProtection="1">
      <alignment vertical="center"/>
      <protection hidden="1" locked="0"/>
    </xf>
    <xf numFmtId="0" fontId="100" fillId="3" borderId="87" xfId="64" applyFont="1" applyFill="1" applyBorder="1" applyAlignment="1" applyProtection="1">
      <alignment horizontal="left" vertical="center"/>
      <protection hidden="1" locked="0"/>
    </xf>
    <xf numFmtId="0" fontId="100" fillId="3" borderId="88" xfId="64" applyFont="1" applyFill="1" applyBorder="1" applyAlignment="1" applyProtection="1">
      <alignment horizontal="left" vertical="center"/>
      <protection hidden="1" locked="0"/>
    </xf>
    <xf numFmtId="0" fontId="100" fillId="3" borderId="89" xfId="64" applyFont="1" applyFill="1" applyBorder="1" applyAlignment="1" applyProtection="1">
      <alignment horizontal="left" vertical="center"/>
      <protection hidden="1" locked="0"/>
    </xf>
    <xf numFmtId="0" fontId="100" fillId="34" borderId="0" xfId="64" applyFont="1" applyFill="1" applyBorder="1" applyAlignment="1" applyProtection="1">
      <alignment horizontal="left" vertical="center"/>
      <protection hidden="1" locked="0"/>
    </xf>
    <xf numFmtId="0" fontId="100" fillId="34" borderId="88" xfId="64" applyFont="1" applyFill="1" applyBorder="1" applyAlignment="1" applyProtection="1">
      <alignment horizontal="left" vertical="center"/>
      <protection hidden="1" locked="0"/>
    </xf>
    <xf numFmtId="0" fontId="125" fillId="33" borderId="0" xfId="66" applyFont="1" applyFill="1" applyProtection="1">
      <alignment/>
      <protection hidden="1" locked="0"/>
    </xf>
    <xf numFmtId="0" fontId="100" fillId="20" borderId="0" xfId="66" applyFont="1" applyFill="1" applyProtection="1">
      <alignment/>
      <protection hidden="1" locked="0"/>
    </xf>
    <xf numFmtId="0" fontId="126" fillId="41" borderId="0" xfId="64" applyFont="1" applyFill="1" applyBorder="1" applyAlignment="1" applyProtection="1">
      <alignment vertical="center"/>
      <protection hidden="1" locked="0"/>
    </xf>
    <xf numFmtId="0" fontId="102" fillId="33" borderId="0" xfId="66" applyFont="1" applyFill="1" applyProtection="1">
      <alignment/>
      <protection hidden="1" locked="0"/>
    </xf>
    <xf numFmtId="0" fontId="100" fillId="36" borderId="0" xfId="66" applyFont="1" applyFill="1" applyProtection="1">
      <alignment/>
      <protection hidden="1" locked="0"/>
    </xf>
    <xf numFmtId="0" fontId="127" fillId="36" borderId="0" xfId="64" applyFont="1" applyFill="1" applyBorder="1" applyAlignment="1" applyProtection="1">
      <alignment horizontal="left" vertical="center"/>
      <protection hidden="1" locked="0"/>
    </xf>
    <xf numFmtId="0" fontId="101" fillId="33" borderId="0" xfId="64" applyFont="1" applyFill="1" applyBorder="1" applyAlignment="1" applyProtection="1">
      <alignment horizontal="center" vertical="center" wrapText="1"/>
      <protection hidden="1" locked="0"/>
    </xf>
    <xf numFmtId="0" fontId="128" fillId="33" borderId="0" xfId="66" applyFont="1" applyFill="1" applyProtection="1">
      <alignment/>
      <protection hidden="1" locked="0"/>
    </xf>
    <xf numFmtId="0" fontId="129" fillId="33" borderId="0" xfId="0" applyFont="1" applyFill="1" applyBorder="1" applyAlignment="1" applyProtection="1">
      <alignment/>
      <protection hidden="1" locked="0"/>
    </xf>
    <xf numFmtId="0" fontId="130" fillId="33" borderId="0" xfId="0" applyFont="1" applyFill="1" applyAlignment="1" applyProtection="1">
      <alignment/>
      <protection hidden="1" locked="0"/>
    </xf>
    <xf numFmtId="0" fontId="0" fillId="33" borderId="0" xfId="0" applyFill="1" applyAlignment="1" applyProtection="1">
      <alignment/>
      <protection hidden="1" locked="0"/>
    </xf>
    <xf numFmtId="0" fontId="130" fillId="33" borderId="0" xfId="0" applyFont="1" applyFill="1" applyAlignment="1" applyProtection="1">
      <alignment horizontal="center"/>
      <protection hidden="1" locked="0"/>
    </xf>
    <xf numFmtId="0" fontId="131" fillId="33" borderId="0" xfId="66" applyFont="1" applyFill="1" applyProtection="1">
      <alignment/>
      <protection hidden="1" locked="0"/>
    </xf>
    <xf numFmtId="10" fontId="100" fillId="33" borderId="0" xfId="72" applyNumberFormat="1" applyFont="1" applyFill="1" applyBorder="1" applyAlignment="1" applyProtection="1">
      <alignment horizontal="left"/>
      <protection hidden="1" locked="0"/>
    </xf>
    <xf numFmtId="10" fontId="100" fillId="33" borderId="0" xfId="72" applyNumberFormat="1" applyFont="1" applyFill="1" applyBorder="1" applyAlignment="1" applyProtection="1">
      <alignment horizontal="center"/>
      <protection hidden="1" locked="0"/>
    </xf>
    <xf numFmtId="0" fontId="102" fillId="33" borderId="0" xfId="0" applyFont="1" applyFill="1" applyAlignment="1" applyProtection="1">
      <alignment horizontal="left" wrapText="1"/>
      <protection hidden="1" locked="0"/>
    </xf>
    <xf numFmtId="167" fontId="132" fillId="33" borderId="0" xfId="69" applyFont="1" applyFill="1" applyBorder="1" applyAlignment="1" applyProtection="1">
      <alignment horizontal="left"/>
      <protection hidden="1"/>
    </xf>
    <xf numFmtId="167" fontId="132" fillId="33" borderId="13" xfId="69" applyFont="1" applyFill="1" applyBorder="1" applyAlignment="1" applyProtection="1">
      <alignment horizontal="left"/>
      <protection hidden="1"/>
    </xf>
    <xf numFmtId="0" fontId="100" fillId="3" borderId="14" xfId="64" applyFont="1" applyFill="1" applyBorder="1" applyAlignment="1" applyProtection="1">
      <alignment horizontal="left" vertical="center"/>
      <protection hidden="1"/>
    </xf>
    <xf numFmtId="0" fontId="126" fillId="41" borderId="0" xfId="64" applyFont="1" applyFill="1" applyBorder="1" applyAlignment="1" applyProtection="1">
      <alignment vertical="center"/>
      <protection hidden="1"/>
    </xf>
    <xf numFmtId="0" fontId="133" fillId="37" borderId="18" xfId="56" applyFont="1" applyFill="1" applyBorder="1" applyAlignment="1" applyProtection="1">
      <alignment vertical="center"/>
      <protection hidden="1" locked="0"/>
    </xf>
    <xf numFmtId="0" fontId="101" fillId="33" borderId="0" xfId="64" applyFont="1" applyFill="1" applyBorder="1" applyAlignment="1" applyProtection="1">
      <alignment horizontal="center" vertical="center" wrapText="1"/>
      <protection hidden="1" locked="0"/>
    </xf>
    <xf numFmtId="170" fontId="108" fillId="33" borderId="84" xfId="64" applyNumberFormat="1" applyFont="1" applyFill="1" applyBorder="1" applyAlignment="1" applyProtection="1">
      <alignment horizontal="right" wrapText="1"/>
      <protection hidden="1"/>
    </xf>
    <xf numFmtId="170" fontId="108" fillId="33" borderId="90" xfId="64" applyNumberFormat="1" applyFont="1" applyFill="1" applyBorder="1" applyAlignment="1" applyProtection="1">
      <alignment horizontal="right" wrapText="1"/>
      <protection hidden="1"/>
    </xf>
    <xf numFmtId="170" fontId="100" fillId="33" borderId="84" xfId="64" applyNumberFormat="1" applyFont="1" applyFill="1" applyBorder="1" applyAlignment="1" applyProtection="1">
      <alignment horizontal="right"/>
      <protection hidden="1"/>
    </xf>
    <xf numFmtId="170" fontId="100" fillId="33" borderId="90" xfId="64" applyNumberFormat="1" applyFont="1" applyFill="1" applyBorder="1" applyAlignment="1" applyProtection="1">
      <alignment horizontal="right"/>
      <protection hidden="1"/>
    </xf>
    <xf numFmtId="10" fontId="100" fillId="33" borderId="84" xfId="72" applyNumberFormat="1" applyFont="1" applyFill="1" applyBorder="1" applyAlignment="1" applyProtection="1">
      <alignment horizontal="right"/>
      <protection hidden="1"/>
    </xf>
    <xf numFmtId="10" fontId="100" fillId="33" borderId="90" xfId="72" applyNumberFormat="1" applyFont="1" applyFill="1" applyBorder="1" applyAlignment="1" applyProtection="1">
      <alignment horizontal="right"/>
      <protection hidden="1"/>
    </xf>
    <xf numFmtId="0" fontId="102" fillId="33" borderId="0" xfId="0" applyFont="1" applyFill="1" applyAlignment="1" applyProtection="1">
      <alignment horizontal="left" wrapText="1"/>
      <protection hidden="1" locked="0"/>
    </xf>
    <xf numFmtId="0" fontId="8" fillId="33" borderId="0" xfId="64" applyFont="1" applyFill="1" applyBorder="1" applyAlignment="1" applyProtection="1">
      <alignment horizontal="left" vertical="top" wrapText="1"/>
      <protection hidden="1" locked="0"/>
    </xf>
    <xf numFmtId="0" fontId="121" fillId="36" borderId="0" xfId="64" applyFont="1" applyFill="1" applyBorder="1" applyAlignment="1" applyProtection="1">
      <alignment horizontal="left" vertical="center" wrapText="1"/>
      <protection hidden="1"/>
    </xf>
    <xf numFmtId="164" fontId="100" fillId="35" borderId="91" xfId="64" applyNumberFormat="1" applyFont="1" applyFill="1" applyBorder="1" applyAlignment="1" applyProtection="1">
      <alignment horizontal="center" vertical="center"/>
      <protection hidden="1" locked="0"/>
    </xf>
    <xf numFmtId="164" fontId="100" fillId="35" borderId="92" xfId="64" applyNumberFormat="1" applyFont="1" applyFill="1" applyBorder="1" applyAlignment="1" applyProtection="1">
      <alignment horizontal="center" vertical="center"/>
      <protection hidden="1" locked="0"/>
    </xf>
    <xf numFmtId="0" fontId="101" fillId="33" borderId="0" xfId="64" applyFont="1" applyFill="1" applyBorder="1" applyAlignment="1" applyProtection="1">
      <alignment horizontal="center" vertical="center" wrapText="1"/>
      <protection hidden="1" locked="0"/>
    </xf>
    <xf numFmtId="0" fontId="119" fillId="20" borderId="80" xfId="0" applyFont="1" applyFill="1" applyBorder="1" applyAlignment="1" applyProtection="1">
      <alignment horizontal="center" vertical="center"/>
      <protection hidden="1"/>
    </xf>
    <xf numFmtId="0" fontId="119" fillId="20" borderId="0" xfId="0" applyFont="1" applyFill="1" applyBorder="1" applyAlignment="1" applyProtection="1">
      <alignment horizontal="center" vertical="center"/>
      <protection hidden="1"/>
    </xf>
    <xf numFmtId="170" fontId="108" fillId="33" borderId="82" xfId="64" applyNumberFormat="1" applyFont="1" applyFill="1" applyBorder="1" applyAlignment="1" applyProtection="1">
      <alignment horizontal="right" wrapText="1"/>
      <protection hidden="1"/>
    </xf>
    <xf numFmtId="170" fontId="108" fillId="33" borderId="13" xfId="64" applyNumberFormat="1" applyFont="1" applyFill="1" applyBorder="1" applyAlignment="1" applyProtection="1">
      <alignment horizontal="right" wrapText="1"/>
      <protection hidden="1"/>
    </xf>
    <xf numFmtId="0" fontId="121" fillId="36" borderId="0" xfId="64" applyFont="1" applyFill="1" applyBorder="1" applyAlignment="1" applyProtection="1">
      <alignment horizontal="left" vertical="center"/>
      <protection hidden="1"/>
    </xf>
    <xf numFmtId="0" fontId="121" fillId="36" borderId="13" xfId="64" applyFont="1" applyFill="1" applyBorder="1" applyAlignment="1" applyProtection="1">
      <alignment horizontal="left" vertical="center"/>
      <protection hidden="1"/>
    </xf>
    <xf numFmtId="0" fontId="104" fillId="33" borderId="93" xfId="64" applyFont="1" applyFill="1" applyBorder="1" applyAlignment="1" applyProtection="1">
      <alignment horizontal="left"/>
      <protection hidden="1" locked="0"/>
    </xf>
    <xf numFmtId="0" fontId="104" fillId="33" borderId="0" xfId="64" applyFont="1" applyFill="1" applyBorder="1" applyAlignment="1" applyProtection="1">
      <alignment horizontal="left"/>
      <protection hidden="1" locked="0"/>
    </xf>
    <xf numFmtId="0" fontId="122" fillId="33" borderId="0" xfId="64" applyFont="1" applyFill="1" applyBorder="1" applyAlignment="1" applyProtection="1">
      <alignment horizontal="center" vertical="center" textRotation="90"/>
      <protection hidden="1"/>
    </xf>
    <xf numFmtId="167" fontId="85" fillId="33" borderId="0" xfId="69" applyFill="1" applyBorder="1" applyProtection="1">
      <alignment/>
      <protection hidden="1"/>
    </xf>
    <xf numFmtId="0" fontId="124" fillId="33" borderId="0" xfId="66" applyFont="1" applyFill="1" applyBorder="1" applyAlignment="1" applyProtection="1">
      <alignment horizontal="center" vertical="center" wrapText="1"/>
      <protection hidden="1" locked="0"/>
    </xf>
    <xf numFmtId="0" fontId="121" fillId="33" borderId="0" xfId="64" applyFont="1" applyFill="1" applyBorder="1" applyAlignment="1" applyProtection="1">
      <alignment horizontal="left" vertical="center" wrapText="1"/>
      <protection hidden="1"/>
    </xf>
    <xf numFmtId="167" fontId="132" fillId="33" borderId="0" xfId="69" applyFont="1" applyFill="1" applyBorder="1" applyAlignment="1" applyProtection="1">
      <alignment horizontal="left"/>
      <protection hidden="1"/>
    </xf>
    <xf numFmtId="167" fontId="132" fillId="33" borderId="13" xfId="69" applyFont="1" applyFill="1" applyBorder="1" applyAlignment="1" applyProtection="1">
      <alignment horizontal="left"/>
      <protection hidden="1"/>
    </xf>
    <xf numFmtId="0" fontId="102" fillId="3" borderId="86" xfId="64" applyFont="1" applyFill="1" applyBorder="1" applyAlignment="1" applyProtection="1">
      <alignment horizontal="center" vertical="center"/>
      <protection hidden="1"/>
    </xf>
    <xf numFmtId="0" fontId="9" fillId="33" borderId="0" xfId="68" applyFont="1" applyFill="1" applyBorder="1" applyAlignment="1" applyProtection="1">
      <alignment horizontal="left" vertical="center" wrapText="1"/>
      <protection/>
    </xf>
    <xf numFmtId="0" fontId="9" fillId="0" borderId="0" xfId="68" applyFont="1" applyBorder="1" applyAlignment="1" applyProtection="1">
      <alignment horizontal="left" vertical="justify"/>
      <protection/>
    </xf>
    <xf numFmtId="0" fontId="110" fillId="37" borderId="0" xfId="68" applyFont="1" applyFill="1" applyBorder="1" applyAlignment="1" applyProtection="1">
      <alignment horizontal="justify" vertical="center"/>
      <protection/>
    </xf>
    <xf numFmtId="0" fontId="9" fillId="33" borderId="94" xfId="68" applyFont="1" applyFill="1" applyBorder="1" applyAlignment="1" applyProtection="1">
      <alignment vertical="top" wrapText="1"/>
      <protection/>
    </xf>
    <xf numFmtId="0" fontId="9" fillId="33" borderId="0" xfId="68" applyFont="1" applyFill="1" applyBorder="1" applyAlignment="1" applyProtection="1">
      <alignment horizontal="justify" vertical="top" wrapText="1"/>
      <protection/>
    </xf>
    <xf numFmtId="0" fontId="9" fillId="33" borderId="0" xfId="68" applyFont="1" applyFill="1" applyBorder="1" applyAlignment="1" applyProtection="1">
      <alignment horizontal="left" vertical="center"/>
      <protection/>
    </xf>
    <xf numFmtId="0" fontId="9" fillId="33" borderId="94" xfId="68" applyFont="1" applyFill="1" applyBorder="1" applyAlignment="1" applyProtection="1">
      <alignment horizontal="left" vertical="top" wrapText="1"/>
      <protection/>
    </xf>
    <xf numFmtId="0" fontId="6" fillId="33" borderId="0" xfId="68" applyFont="1" applyFill="1" applyBorder="1" applyAlignment="1" applyProtection="1">
      <alignment horizontal="justify" vertical="center"/>
      <protection/>
    </xf>
    <xf numFmtId="0" fontId="9" fillId="33" borderId="0" xfId="68" applyFont="1" applyFill="1" applyBorder="1" applyAlignment="1" applyProtection="1">
      <alignment horizontal="left" vertical="center" wrapText="1" indent="4"/>
      <protection/>
    </xf>
    <xf numFmtId="0" fontId="9" fillId="33" borderId="0" xfId="68" applyFont="1" applyFill="1" applyBorder="1" applyAlignment="1" applyProtection="1">
      <alignment horizontal="justify" vertical="center"/>
      <protection/>
    </xf>
    <xf numFmtId="0" fontId="9" fillId="33" borderId="0" xfId="68" applyFont="1" applyFill="1" applyBorder="1" applyAlignment="1" applyProtection="1">
      <alignment horizontal="left" vertical="top" wrapText="1"/>
      <protection/>
    </xf>
    <xf numFmtId="9" fontId="9" fillId="33" borderId="0" xfId="68" applyNumberFormat="1" applyFont="1" applyFill="1" applyBorder="1" applyAlignment="1" applyProtection="1">
      <alignment horizontal="left" vertical="center" wrapText="1" indent="4"/>
      <protection/>
    </xf>
    <xf numFmtId="0" fontId="5" fillId="33" borderId="0" xfId="68" applyFont="1" applyFill="1" applyBorder="1" applyAlignment="1" applyProtection="1">
      <alignment horizontal="left" vertical="center" wrapText="1" indent="4"/>
      <protection/>
    </xf>
    <xf numFmtId="0" fontId="9" fillId="33" borderId="0" xfId="68" applyFont="1" applyFill="1" applyBorder="1" applyAlignment="1" applyProtection="1">
      <alignment horizontal="justify" vertical="top"/>
      <protection/>
    </xf>
    <xf numFmtId="0" fontId="9" fillId="33" borderId="12" xfId="68" applyFont="1" applyFill="1" applyBorder="1" applyAlignment="1" applyProtection="1">
      <alignment vertical="top" wrapText="1"/>
      <protection/>
    </xf>
    <xf numFmtId="0" fontId="104" fillId="33" borderId="16" xfId="64" applyFont="1" applyFill="1" applyBorder="1" applyAlignment="1" applyProtection="1">
      <alignment horizontal="left"/>
      <protection hidden="1"/>
    </xf>
    <xf numFmtId="0" fontId="104" fillId="33" borderId="0" xfId="64" applyFont="1" applyFill="1" applyBorder="1" applyAlignment="1" applyProtection="1">
      <alignment horizontal="left"/>
      <protection hidden="1"/>
    </xf>
    <xf numFmtId="0" fontId="110" fillId="0" borderId="0" xfId="68" applyFont="1" applyFill="1" applyBorder="1" applyAlignment="1" applyProtection="1">
      <alignment horizontal="center" vertical="center"/>
      <protection/>
    </xf>
    <xf numFmtId="0" fontId="9" fillId="33" borderId="0" xfId="68" applyFont="1" applyFill="1" applyBorder="1" applyAlignment="1" applyProtection="1">
      <alignment vertical="center" wrapText="1"/>
      <protection/>
    </xf>
    <xf numFmtId="0" fontId="134" fillId="33" borderId="0" xfId="68" applyFont="1" applyFill="1" applyAlignment="1">
      <alignment horizontal="center"/>
      <protection/>
    </xf>
    <xf numFmtId="0" fontId="6" fillId="37" borderId="0" xfId="68" applyFont="1" applyFill="1" applyBorder="1" applyAlignment="1" applyProtection="1">
      <alignment horizontal="justify" vertical="center"/>
      <protection/>
    </xf>
    <xf numFmtId="0" fontId="5" fillId="33" borderId="0" xfId="68" applyFont="1" applyFill="1" applyBorder="1" applyAlignment="1" applyProtection="1">
      <alignment horizontal="justify" vertical="center" wrapText="1"/>
      <protection/>
    </xf>
    <xf numFmtId="0" fontId="5" fillId="33" borderId="0" xfId="68" applyFont="1" applyFill="1" applyBorder="1" applyAlignment="1" applyProtection="1">
      <alignment horizontal="left" vertical="center" wrapText="1"/>
      <protection/>
    </xf>
    <xf numFmtId="0" fontId="19" fillId="0" borderId="29" xfId="0" applyFont="1" applyBorder="1" applyAlignment="1" applyProtection="1">
      <alignment horizontal="center" vertical="center" textRotation="90" wrapText="1"/>
      <protection locked="0"/>
    </xf>
    <xf numFmtId="0" fontId="19" fillId="0" borderId="38" xfId="0" applyFont="1" applyBorder="1" applyAlignment="1" applyProtection="1">
      <alignment horizontal="center" vertical="center" textRotation="90" wrapText="1"/>
      <protection locked="0"/>
    </xf>
    <xf numFmtId="0" fontId="19" fillId="0" borderId="46" xfId="0" applyFont="1" applyBorder="1" applyAlignment="1" applyProtection="1">
      <alignment horizontal="center" vertical="center" textRotation="90" wrapText="1"/>
      <protection locked="0"/>
    </xf>
    <xf numFmtId="0" fontId="19" fillId="0" borderId="29" xfId="0" applyFont="1" applyBorder="1" applyAlignment="1" applyProtection="1">
      <alignment horizontal="center" vertical="center" textRotation="90"/>
      <protection locked="0"/>
    </xf>
    <xf numFmtId="0" fontId="19" fillId="0" borderId="38" xfId="0" applyFont="1" applyBorder="1" applyAlignment="1" applyProtection="1">
      <alignment horizontal="center" vertical="center" textRotation="90"/>
      <protection locked="0"/>
    </xf>
    <xf numFmtId="0" fontId="19" fillId="0" borderId="46" xfId="0" applyFont="1" applyBorder="1" applyAlignment="1" applyProtection="1">
      <alignment horizontal="center" vertical="center" textRotation="90"/>
      <protection locked="0"/>
    </xf>
    <xf numFmtId="0" fontId="22" fillId="0" borderId="29" xfId="0" applyFont="1" applyBorder="1" applyAlignment="1" applyProtection="1">
      <alignment horizontal="center" vertical="center" textRotation="90" wrapText="1"/>
      <protection locked="0"/>
    </xf>
    <xf numFmtId="0" fontId="22" fillId="0" borderId="38" xfId="0" applyFont="1" applyBorder="1" applyAlignment="1" applyProtection="1">
      <alignment horizontal="center" vertical="center" textRotation="90" wrapText="1"/>
      <protection locked="0"/>
    </xf>
    <xf numFmtId="0" fontId="22" fillId="0" borderId="46" xfId="0" applyFont="1" applyBorder="1" applyAlignment="1" applyProtection="1">
      <alignment horizontal="center" vertical="center" textRotation="90" wrapText="1"/>
      <protection locked="0"/>
    </xf>
    <xf numFmtId="0" fontId="21" fillId="42" borderId="62" xfId="0" applyFont="1" applyFill="1" applyBorder="1" applyAlignment="1" applyProtection="1">
      <alignment horizontal="center"/>
      <protection locked="0"/>
    </xf>
    <xf numFmtId="0" fontId="21" fillId="42" borderId="77" xfId="0" applyFont="1" applyFill="1" applyBorder="1" applyAlignment="1" applyProtection="1">
      <alignment horizontal="center"/>
      <protection locked="0"/>
    </xf>
    <xf numFmtId="0" fontId="21" fillId="42" borderId="78" xfId="0" applyFont="1" applyFill="1" applyBorder="1" applyAlignment="1" applyProtection="1">
      <alignment horizontal="center"/>
      <protection locked="0"/>
    </xf>
    <xf numFmtId="171" fontId="21" fillId="40" borderId="95" xfId="60" applyNumberFormat="1" applyFont="1" applyFill="1" applyBorder="1" applyAlignment="1" applyProtection="1">
      <alignment horizontal="center"/>
      <protection locked="0"/>
    </xf>
    <xf numFmtId="171" fontId="21" fillId="40" borderId="0" xfId="60" applyNumberFormat="1" applyFont="1" applyFill="1" applyBorder="1" applyAlignment="1" applyProtection="1">
      <alignment horizontal="center"/>
      <protection locked="0"/>
    </xf>
    <xf numFmtId="7" fontId="19" fillId="2" borderId="52" xfId="48" applyNumberFormat="1" applyFont="1" applyFill="1" applyBorder="1" applyAlignment="1" applyProtection="1">
      <alignment horizontal="center" vertical="center"/>
      <protection locked="0"/>
    </xf>
    <xf numFmtId="7" fontId="19" fillId="2" borderId="96" xfId="48" applyNumberFormat="1" applyFont="1" applyFill="1" applyBorder="1" applyAlignment="1" applyProtection="1">
      <alignment horizontal="center" vertical="center"/>
      <protection locked="0"/>
    </xf>
    <xf numFmtId="7" fontId="19" fillId="2" borderId="0" xfId="48" applyNumberFormat="1" applyFont="1" applyFill="1" applyBorder="1" applyAlignment="1" applyProtection="1">
      <alignment horizontal="center" vertical="center"/>
      <protection locked="0"/>
    </xf>
    <xf numFmtId="0" fontId="6" fillId="33" borderId="0" xfId="61" applyFont="1" applyFill="1" applyAlignment="1" applyProtection="1">
      <alignment horizontal="left" vertical="center"/>
      <protection/>
    </xf>
    <xf numFmtId="0" fontId="6" fillId="33" borderId="97" xfId="61" applyFont="1" applyFill="1" applyBorder="1" applyAlignment="1" applyProtection="1">
      <alignment horizontal="left" vertical="center"/>
      <protection/>
    </xf>
    <xf numFmtId="0" fontId="100" fillId="0" borderId="98" xfId="0" applyFont="1" applyBorder="1" applyAlignment="1">
      <alignment horizontal="center"/>
    </xf>
    <xf numFmtId="0" fontId="100" fillId="0" borderId="0" xfId="0" applyFont="1" applyAlignment="1">
      <alignment horizontal="center"/>
    </xf>
    <xf numFmtId="0" fontId="108" fillId="0" borderId="98" xfId="0" applyFont="1" applyBorder="1" applyAlignment="1">
      <alignment horizontal="center"/>
    </xf>
    <xf numFmtId="0" fontId="108" fillId="0" borderId="0" xfId="0" applyFont="1" applyAlignment="1">
      <alignment horizontal="center"/>
    </xf>
    <xf numFmtId="0" fontId="18" fillId="0" borderId="99" xfId="0" applyFont="1" applyBorder="1" applyAlignment="1">
      <alignment horizontal="center"/>
    </xf>
    <xf numFmtId="0" fontId="18" fillId="0" borderId="100" xfId="0" applyFont="1" applyBorder="1" applyAlignment="1">
      <alignment horizontal="center"/>
    </xf>
    <xf numFmtId="0" fontId="108" fillId="0" borderId="0" xfId="0" applyFont="1" applyAlignment="1">
      <alignment horizontal="center" vertical="center" wrapText="1"/>
    </xf>
    <xf numFmtId="0" fontId="2" fillId="0" borderId="95" xfId="0" applyFont="1" applyBorder="1" applyAlignment="1">
      <alignment horizontal="center"/>
    </xf>
    <xf numFmtId="0" fontId="2" fillId="0" borderId="0" xfId="0" applyFont="1" applyBorder="1" applyAlignment="1">
      <alignment horizontal="center"/>
    </xf>
    <xf numFmtId="0" fontId="108" fillId="33" borderId="28" xfId="0" applyFont="1" applyFill="1" applyBorder="1" applyAlignment="1">
      <alignment horizontal="center" vertical="center" wrapText="1"/>
    </xf>
    <xf numFmtId="0" fontId="108" fillId="33" borderId="36" xfId="0" applyFont="1" applyFill="1" applyBorder="1" applyAlignment="1">
      <alignment horizontal="center" vertical="center" wrapText="1"/>
    </xf>
    <xf numFmtId="0" fontId="108" fillId="33" borderId="51" xfId="0" applyFont="1" applyFill="1" applyBorder="1" applyAlignment="1">
      <alignment horizontal="center" vertical="center" wrapText="1"/>
    </xf>
    <xf numFmtId="0" fontId="6" fillId="33" borderId="101" xfId="61" applyFont="1" applyFill="1" applyBorder="1" applyAlignment="1" applyProtection="1">
      <alignment horizontal="center"/>
      <protection/>
    </xf>
    <xf numFmtId="0" fontId="13" fillId="0" borderId="0" xfId="0" applyFont="1" applyAlignment="1">
      <alignment horizontal="center"/>
    </xf>
    <xf numFmtId="0" fontId="9" fillId="33" borderId="0" xfId="61" applyFont="1" applyFill="1" applyAlignment="1" applyProtection="1">
      <alignment horizontal="center"/>
      <protection/>
    </xf>
    <xf numFmtId="0" fontId="57" fillId="33" borderId="99" xfId="60" applyFont="1" applyFill="1" applyBorder="1" applyAlignment="1">
      <alignment horizontal="center" wrapText="1"/>
      <protection/>
    </xf>
    <xf numFmtId="0" fontId="57" fillId="33" borderId="30" xfId="60" applyFont="1" applyFill="1" applyBorder="1" applyAlignment="1">
      <alignment horizontal="center" wrapText="1"/>
      <protection/>
    </xf>
    <xf numFmtId="0" fontId="57" fillId="33" borderId="102" xfId="60" applyFont="1" applyFill="1" applyBorder="1" applyAlignment="1">
      <alignment horizontal="center" wrapText="1"/>
      <protection/>
    </xf>
    <xf numFmtId="0" fontId="57" fillId="33" borderId="47" xfId="60" applyFont="1" applyFill="1" applyBorder="1" applyAlignment="1">
      <alignment horizontal="center" wrapText="1"/>
      <protection/>
    </xf>
    <xf numFmtId="0" fontId="57" fillId="33" borderId="26" xfId="60" applyFont="1" applyFill="1" applyBorder="1" applyAlignment="1">
      <alignment horizontal="center" vertical="center" wrapText="1"/>
      <protection/>
    </xf>
    <xf numFmtId="0" fontId="57" fillId="33" borderId="34" xfId="60" applyFont="1" applyFill="1" applyBorder="1" applyAlignment="1">
      <alignment horizontal="center" vertical="center" wrapText="1"/>
      <protection/>
    </xf>
    <xf numFmtId="0" fontId="57" fillId="33" borderId="49" xfId="60" applyFont="1" applyFill="1" applyBorder="1" applyAlignment="1">
      <alignment horizontal="center" vertical="center" wrapText="1"/>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uro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2 2 3" xfId="62"/>
    <cellStyle name="Normal 3" xfId="63"/>
    <cellStyle name="Normal 4" xfId="64"/>
    <cellStyle name="Normal 5" xfId="65"/>
    <cellStyle name="Normal 5 2" xfId="66"/>
    <cellStyle name="Normal 6" xfId="67"/>
    <cellStyle name="Normal 6 2" xfId="68"/>
    <cellStyle name="Normal 6 2 2" xfId="69"/>
    <cellStyle name="Note" xfId="70"/>
    <cellStyle name="Output" xfId="71"/>
    <cellStyle name="Percent" xfId="72"/>
    <cellStyle name="Percent 2" xfId="73"/>
    <cellStyle name="Percent 2 2" xfId="74"/>
    <cellStyle name="Percent 3" xfId="75"/>
    <cellStyle name="Percent 4" xfId="76"/>
    <cellStyle name="Percent 5" xfId="77"/>
    <cellStyle name="Title" xfId="78"/>
    <cellStyle name="Total" xfId="79"/>
    <cellStyle name="Warning Text" xfId="80"/>
  </cellStyles>
  <dxfs count="4">
    <dxf>
      <fill>
        <patternFill>
          <bgColor rgb="FFFF0000"/>
        </patternFill>
      </fill>
    </dxf>
    <dxf>
      <fill>
        <patternFill>
          <bgColor rgb="FFFFFFDD"/>
        </patternFill>
      </fill>
    </dxf>
    <dxf>
      <fill>
        <patternFill>
          <bgColor rgb="FFFF0000"/>
        </patternFill>
      </fill>
    </dxf>
    <dxf>
      <fill>
        <patternFill>
          <bgColor rgb="FFFFFFDD"/>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5.png" /><Relationship Id="rId3" Type="http://schemas.openxmlformats.org/officeDocument/2006/relationships/image" Target="../media/image14.png" /><Relationship Id="rId4" Type="http://schemas.openxmlformats.org/officeDocument/2006/relationships/image" Target="../media/image13.png" /><Relationship Id="rId5" Type="http://schemas.openxmlformats.org/officeDocument/2006/relationships/image" Target="../media/image12.png" /><Relationship Id="rId6" Type="http://schemas.openxmlformats.org/officeDocument/2006/relationships/image" Target="../media/image5.emf" /><Relationship Id="rId7" Type="http://schemas.openxmlformats.org/officeDocument/2006/relationships/hyperlink" Target="#'Simular IRS 2014'!A1" /><Relationship Id="rId8" Type="http://schemas.openxmlformats.org/officeDocument/2006/relationships/hyperlink" Target="#'Simular IRS 2014'!A1" /></Relationships>
</file>

<file path=xl/drawings/_rels/drawing2.xml.rels><?xml version="1.0" encoding="utf-8" standalone="yes"?><Relationships xmlns="http://schemas.openxmlformats.org/package/2006/relationships"><Relationship Id="rId1" Type="http://schemas.openxmlformats.org/officeDocument/2006/relationships/hyperlink" Target="#Informa&#231;&#227;o!B5:E9" /><Relationship Id="rId2" Type="http://schemas.openxmlformats.org/officeDocument/2006/relationships/hyperlink" Target="#Informa&#231;&#227;o!B11:E13" /><Relationship Id="rId3" Type="http://schemas.openxmlformats.org/officeDocument/2006/relationships/hyperlink" Target="#Informa&#231;&#227;o!B15:E17" /><Relationship Id="rId4" Type="http://schemas.openxmlformats.org/officeDocument/2006/relationships/hyperlink" Target="#Informa&#231;&#227;o!B15:E17" /><Relationship Id="rId5" Type="http://schemas.openxmlformats.org/officeDocument/2006/relationships/hyperlink" Target="#Informa&#231;&#227;o!B19:E20" /><Relationship Id="rId6" Type="http://schemas.openxmlformats.org/officeDocument/2006/relationships/hyperlink" Target="#Informa&#231;&#227;o!B22:E23" /><Relationship Id="rId7" Type="http://schemas.openxmlformats.org/officeDocument/2006/relationships/hyperlink" Target="#Informa&#231;&#227;o!B32:E36" /><Relationship Id="rId8" Type="http://schemas.openxmlformats.org/officeDocument/2006/relationships/hyperlink" Target="#Informa&#231;&#227;o!B25:E27" /><Relationship Id="rId9" Type="http://schemas.openxmlformats.org/officeDocument/2006/relationships/hyperlink" Target="#Informa&#231;&#227;o!B29:E30" /><Relationship Id="rId10" Type="http://schemas.openxmlformats.org/officeDocument/2006/relationships/hyperlink" Target="#Disclaimer!A1" /><Relationship Id="rId11" Type="http://schemas.openxmlformats.org/officeDocument/2006/relationships/hyperlink" Target="http://www.pwc.pt/pt_PT/pt/pwcinforfisco/orcamento-estado/2014/docs/pwc-oe2014.pdf" TargetMode="External" /><Relationship Id="rId12" Type="http://schemas.openxmlformats.org/officeDocument/2006/relationships/image" Target="../media/image17.png" /><Relationship Id="rId13" Type="http://schemas.openxmlformats.org/officeDocument/2006/relationships/image" Target="../media/image3.emf" /><Relationship Id="rId14" Type="http://schemas.openxmlformats.org/officeDocument/2006/relationships/image" Target="../media/image8.emf" /><Relationship Id="rId15" Type="http://schemas.openxmlformats.org/officeDocument/2006/relationships/image" Target="../media/image2.emf" /><Relationship Id="rId16" Type="http://schemas.openxmlformats.org/officeDocument/2006/relationships/image" Target="../media/image4.emf" /><Relationship Id="rId17" Type="http://schemas.openxmlformats.org/officeDocument/2006/relationships/image" Target="../media/image6.emf" /><Relationship Id="rId18" Type="http://schemas.openxmlformats.org/officeDocument/2006/relationships/image" Target="../media/image1.emf" /><Relationship Id="rId19" Type="http://schemas.openxmlformats.org/officeDocument/2006/relationships/image" Target="../media/image7.emf" /><Relationship Id="rId20" Type="http://schemas.openxmlformats.org/officeDocument/2006/relationships/hyperlink" Target="#Ajuda!A1" /><Relationship Id="rId21" Type="http://schemas.openxmlformats.org/officeDocument/2006/relationships/image" Target="../media/image18.wmf" /></Relationships>
</file>

<file path=xl/drawings/_rels/drawing3.xml.rels><?xml version="1.0" encoding="utf-8" standalone="yes"?><Relationships xmlns="http://schemas.openxmlformats.org/package/2006/relationships"><Relationship Id="rId1" Type="http://schemas.openxmlformats.org/officeDocument/2006/relationships/hyperlink" Target="#'Simular IRS 2014'!A1" /><Relationship Id="rId2" Type="http://schemas.openxmlformats.org/officeDocument/2006/relationships/image" Target="../media/image11.emf" /><Relationship Id="rId3" Type="http://schemas.openxmlformats.org/officeDocument/2006/relationships/hyperlink" Target="#'Simular IRS 2014'!A1" /></Relationships>
</file>

<file path=xl/drawings/_rels/drawing4.xml.rels><?xml version="1.0" encoding="utf-8" standalone="yes"?><Relationships xmlns="http://schemas.openxmlformats.org/package/2006/relationships"><Relationship Id="rId1" Type="http://schemas.openxmlformats.org/officeDocument/2006/relationships/hyperlink" Target="#'10'!B20" /><Relationship Id="rId2" Type="http://schemas.openxmlformats.org/officeDocument/2006/relationships/hyperlink" Target="#'Simular IRS 2014'!A1" /><Relationship Id="rId3" Type="http://schemas.openxmlformats.org/officeDocument/2006/relationships/hyperlink" Target="http://www.pwc.com/pt/pt" TargetMode="External" /><Relationship Id="rId4" Type="http://schemas.openxmlformats.org/officeDocument/2006/relationships/hyperlink" Target="#'Simular IRS 2014'!A1" /><Relationship Id="rId5"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10</xdr:row>
      <xdr:rowOff>123825</xdr:rowOff>
    </xdr:from>
    <xdr:to>
      <xdr:col>2</xdr:col>
      <xdr:colOff>4200525</xdr:colOff>
      <xdr:row>27</xdr:row>
      <xdr:rowOff>95250</xdr:rowOff>
    </xdr:to>
    <xdr:pic>
      <xdr:nvPicPr>
        <xdr:cNvPr id="1" name="Picture 5121"/>
        <xdr:cNvPicPr preferRelativeResize="1">
          <a:picLocks noChangeAspect="1"/>
        </xdr:cNvPicPr>
      </xdr:nvPicPr>
      <xdr:blipFill>
        <a:blip r:embed="rId1"/>
        <a:stretch>
          <a:fillRect/>
        </a:stretch>
      </xdr:blipFill>
      <xdr:spPr>
        <a:xfrm>
          <a:off x="1352550" y="2038350"/>
          <a:ext cx="4171950" cy="2790825"/>
        </a:xfrm>
        <a:prstGeom prst="rect">
          <a:avLst/>
        </a:prstGeom>
        <a:noFill/>
        <a:ln w="9525" cmpd="sng">
          <a:noFill/>
        </a:ln>
      </xdr:spPr>
    </xdr:pic>
    <xdr:clientData/>
  </xdr:twoCellAnchor>
  <xdr:twoCellAnchor>
    <xdr:from>
      <xdr:col>2</xdr:col>
      <xdr:colOff>466725</xdr:colOff>
      <xdr:row>77</xdr:row>
      <xdr:rowOff>152400</xdr:rowOff>
    </xdr:from>
    <xdr:to>
      <xdr:col>2</xdr:col>
      <xdr:colOff>6315075</xdr:colOff>
      <xdr:row>91</xdr:row>
      <xdr:rowOff>114300</xdr:rowOff>
    </xdr:to>
    <xdr:grpSp>
      <xdr:nvGrpSpPr>
        <xdr:cNvPr id="2" name="Group 4"/>
        <xdr:cNvGrpSpPr>
          <a:grpSpLocks/>
        </xdr:cNvGrpSpPr>
      </xdr:nvGrpSpPr>
      <xdr:grpSpPr>
        <a:xfrm>
          <a:off x="1790700" y="13763625"/>
          <a:ext cx="5848350" cy="2228850"/>
          <a:chOff x="6808178" y="1132282"/>
          <a:chExt cx="1326166" cy="804110"/>
        </a:xfrm>
        <a:solidFill>
          <a:srgbClr val="FFFFFF"/>
        </a:solidFill>
      </xdr:grpSpPr>
      <xdr:sp>
        <xdr:nvSpPr>
          <xdr:cNvPr id="3" name="Rectangle 8"/>
          <xdr:cNvSpPr>
            <a:spLocks/>
          </xdr:cNvSpPr>
        </xdr:nvSpPr>
        <xdr:spPr>
          <a:xfrm>
            <a:off x="6868519" y="1132282"/>
            <a:ext cx="1265825" cy="782600"/>
          </a:xfrm>
          <a:prstGeom prst="rect">
            <a:avLst/>
          </a:prstGeom>
          <a:solidFill>
            <a:srgbClr val="DC6900"/>
          </a:solidFill>
          <a:ln w="25400" cmpd="sng">
            <a:noFill/>
          </a:ln>
        </xdr:spPr>
        <xdr:txBody>
          <a:bodyPr vertOverflow="clip" wrap="square" anchor="ctr"/>
          <a:p>
            <a:pPr algn="l">
              <a:defRPr/>
            </a:pPr>
            <a:r>
              <a:rPr lang="en-US" cap="none" sz="1250" b="1" i="0" u="none" baseline="0">
                <a:solidFill>
                  <a:srgbClr val="FFFFFF"/>
                </a:solidFill>
              </a:rPr>
              <a:t>Passos para o utilizador que possua o Microsoft Office Excel 
em Português: </a:t>
            </a:r>
            <a:r>
              <a:rPr lang="en-US" cap="none" sz="1250" b="1" i="0" u="none" baseline="0">
                <a:solidFill>
                  <a:srgbClr val="FFFFFF"/>
                </a:solidFill>
              </a:rPr>
              <a:t>
</a:t>
            </a:r>
            <a:r>
              <a:rPr lang="en-US" cap="none" sz="1250" b="0" i="0" u="none" baseline="0">
                <a:solidFill>
                  <a:srgbClr val="FFFFFF"/>
                </a:solidFill>
              </a:rPr>
              <a:t>
</a:t>
            </a:r>
            <a:r>
              <a:rPr lang="en-US" cap="none" sz="1250" b="0" i="0" u="none" baseline="0">
                <a:solidFill>
                  <a:srgbClr val="FFFFFF"/>
                </a:solidFill>
              </a:rPr>
              <a:t>Botão start do Excel  - Opções do Excel - Centro de Fidedignidade - Definições do Centro de Fidedignidade  -  Definições das Macros - Activar todas as Macros (não recomendável; poderá ser executado um código potencialmente perigoso)</a:t>
            </a:r>
            <a:r>
              <a:rPr lang="en-US" cap="none" sz="1250" b="0" i="0" u="none" baseline="0">
                <a:solidFill>
                  <a:srgbClr val="FFFFFF"/>
                </a:solidFill>
              </a:rPr>
              <a:t> - OK</a:t>
            </a:r>
            <a:r>
              <a:rPr lang="en-US" cap="none" sz="1250" b="0" i="0" u="none" baseline="0">
                <a:solidFill>
                  <a:srgbClr val="FFFFFF"/>
                </a:solidFill>
              </a:rPr>
              <a:t>
</a:t>
            </a:r>
            <a:r>
              <a:rPr lang="en-US" cap="none" sz="1250" b="0" i="0" u="none" baseline="0">
                <a:solidFill>
                  <a:srgbClr val="FFFFFF"/>
                </a:solidFill>
              </a:rPr>
              <a:t>
</a:t>
            </a:r>
            <a:r>
              <a:rPr lang="en-US" cap="none" sz="1250" b="0" i="0" u="none" baseline="0">
                <a:solidFill>
                  <a:srgbClr val="FFFFFF"/>
                </a:solidFill>
              </a:rPr>
              <a:t>Seguidamente deverá guardar o documento: Botão Iniciar do Excel – Salvar como Excel 1997 - 2003.</a:t>
            </a:r>
            <a:r>
              <a:rPr lang="en-US" cap="none" sz="1250" b="0" i="0" u="none" baseline="0">
                <a:solidFill>
                  <a:srgbClr val="FFFFFF"/>
                </a:solidFill>
              </a:rPr>
              <a:t>
</a:t>
            </a:r>
            <a:r>
              <a:rPr lang="en-US" cap="none" sz="1250" b="0" i="0" u="none" baseline="0">
                <a:solidFill>
                  <a:srgbClr val="FFFFFF"/>
                </a:solidFill>
              </a:rPr>
              <a:t> 
</a:t>
            </a:r>
            <a:r>
              <a:rPr lang="en-US" cap="none" sz="1250" b="0" i="0" u="none" baseline="0">
                <a:solidFill>
                  <a:srgbClr val="FFFFFF"/>
                </a:solidFill>
              </a:rPr>
              <a:t>Fechar e voltar a abrir o documento gravado.</a:t>
            </a:r>
            <a:r>
              <a:rPr lang="en-US" cap="none" sz="1250" b="0" i="0" u="none" baseline="0">
                <a:solidFill>
                  <a:srgbClr val="FFFFFF"/>
                </a:solidFill>
                <a:latin typeface="Arial"/>
                <a:ea typeface="Arial"/>
                <a:cs typeface="Arial"/>
              </a:rPr>
              <a:t> </a:t>
            </a:r>
          </a:p>
        </xdr:txBody>
      </xdr:sp>
      <xdr:sp>
        <xdr:nvSpPr>
          <xdr:cNvPr id="4" name="Rectangle 9"/>
          <xdr:cNvSpPr>
            <a:spLocks/>
          </xdr:cNvSpPr>
        </xdr:nvSpPr>
        <xdr:spPr>
          <a:xfrm>
            <a:off x="6808178" y="1911666"/>
            <a:ext cx="60341" cy="2472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2</xdr:col>
      <xdr:colOff>3981450</xdr:colOff>
      <xdr:row>36</xdr:row>
      <xdr:rowOff>142875</xdr:rowOff>
    </xdr:from>
    <xdr:to>
      <xdr:col>4</xdr:col>
      <xdr:colOff>581025</xdr:colOff>
      <xdr:row>54</xdr:row>
      <xdr:rowOff>104775</xdr:rowOff>
    </xdr:to>
    <xdr:grpSp>
      <xdr:nvGrpSpPr>
        <xdr:cNvPr id="5" name="Group 44"/>
        <xdr:cNvGrpSpPr>
          <a:grpSpLocks/>
        </xdr:cNvGrpSpPr>
      </xdr:nvGrpSpPr>
      <xdr:grpSpPr>
        <a:xfrm>
          <a:off x="5305425" y="6505575"/>
          <a:ext cx="4943475" cy="3257550"/>
          <a:chOff x="4486275" y="5286151"/>
          <a:chExt cx="4944835" cy="3257774"/>
        </a:xfrm>
        <a:solidFill>
          <a:srgbClr val="FFFFFF"/>
        </a:solidFill>
      </xdr:grpSpPr>
      <xdr:pic>
        <xdr:nvPicPr>
          <xdr:cNvPr id="6" name="Picture 351"/>
          <xdr:cNvPicPr preferRelativeResize="1">
            <a:picLocks noChangeAspect="1"/>
          </xdr:cNvPicPr>
        </xdr:nvPicPr>
        <xdr:blipFill>
          <a:blip r:embed="rId2"/>
          <a:stretch>
            <a:fillRect/>
          </a:stretch>
        </xdr:blipFill>
        <xdr:spPr>
          <a:xfrm>
            <a:off x="4486275" y="5286151"/>
            <a:ext cx="4944835" cy="3257774"/>
          </a:xfrm>
          <a:prstGeom prst="rect">
            <a:avLst/>
          </a:prstGeom>
          <a:noFill/>
          <a:ln w="9525" cmpd="sng">
            <a:noFill/>
          </a:ln>
        </xdr:spPr>
      </xdr:pic>
      <xdr:sp>
        <xdr:nvSpPr>
          <xdr:cNvPr id="7" name="Left Arrow 15"/>
          <xdr:cNvSpPr>
            <a:spLocks/>
          </xdr:cNvSpPr>
        </xdr:nvSpPr>
        <xdr:spPr>
          <a:xfrm rot="18518080">
            <a:off x="8783337" y="7714822"/>
            <a:ext cx="171833" cy="247591"/>
          </a:xfrm>
          <a:prstGeom prst="leftArrow">
            <a:avLst>
              <a:gd name="adj" fmla="val -15379"/>
            </a:avLst>
          </a:prstGeom>
          <a:solidFill>
            <a:srgbClr val="A82416"/>
          </a:solidFill>
          <a:ln w="25400" cmpd="sng">
            <a:solidFill>
              <a:srgbClr val="A82416"/>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8" name="Rounded Rectangle 16"/>
          <xdr:cNvSpPr>
            <a:spLocks/>
          </xdr:cNvSpPr>
        </xdr:nvSpPr>
        <xdr:spPr>
          <a:xfrm>
            <a:off x="4504818" y="6876759"/>
            <a:ext cx="991439" cy="247591"/>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2</xdr:col>
      <xdr:colOff>323850</xdr:colOff>
      <xdr:row>35</xdr:row>
      <xdr:rowOff>114300</xdr:rowOff>
    </xdr:from>
    <xdr:to>
      <xdr:col>2</xdr:col>
      <xdr:colOff>3267075</xdr:colOff>
      <xdr:row>54</xdr:row>
      <xdr:rowOff>152400</xdr:rowOff>
    </xdr:to>
    <xdr:grpSp>
      <xdr:nvGrpSpPr>
        <xdr:cNvPr id="9" name="Group 43"/>
        <xdr:cNvGrpSpPr>
          <a:grpSpLocks/>
        </xdr:cNvGrpSpPr>
      </xdr:nvGrpSpPr>
      <xdr:grpSpPr>
        <a:xfrm>
          <a:off x="1647825" y="6296025"/>
          <a:ext cx="2943225" cy="3514725"/>
          <a:chOff x="828676" y="5067671"/>
          <a:chExt cx="2943832" cy="3511276"/>
        </a:xfrm>
        <a:solidFill>
          <a:srgbClr val="FFFFFF"/>
        </a:solidFill>
      </xdr:grpSpPr>
      <xdr:pic>
        <xdr:nvPicPr>
          <xdr:cNvPr id="10" name="Picture 349"/>
          <xdr:cNvPicPr preferRelativeResize="1">
            <a:picLocks noChangeAspect="1"/>
          </xdr:cNvPicPr>
        </xdr:nvPicPr>
        <xdr:blipFill>
          <a:blip r:embed="rId3"/>
          <a:stretch>
            <a:fillRect/>
          </a:stretch>
        </xdr:blipFill>
        <xdr:spPr>
          <a:xfrm>
            <a:off x="828676" y="5292393"/>
            <a:ext cx="2943832" cy="3269876"/>
          </a:xfrm>
          <a:prstGeom prst="rect">
            <a:avLst/>
          </a:prstGeom>
          <a:noFill/>
          <a:ln w="9525" cmpd="sng">
            <a:noFill/>
          </a:ln>
        </xdr:spPr>
      </xdr:pic>
      <xdr:sp>
        <xdr:nvSpPr>
          <xdr:cNvPr id="11" name="Rounded Rectangle 19"/>
          <xdr:cNvSpPr>
            <a:spLocks/>
          </xdr:cNvSpPr>
        </xdr:nvSpPr>
        <xdr:spPr>
          <a:xfrm>
            <a:off x="2391115" y="8350714"/>
            <a:ext cx="799986" cy="228233"/>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12" name="Left Arrow 20"/>
          <xdr:cNvSpPr>
            <a:spLocks/>
          </xdr:cNvSpPr>
        </xdr:nvSpPr>
        <xdr:spPr>
          <a:xfrm rot="18518080">
            <a:off x="1019289" y="5067671"/>
            <a:ext cx="171478" cy="247545"/>
          </a:xfrm>
          <a:prstGeom prst="leftArrow">
            <a:avLst>
              <a:gd name="adj" fmla="val -15342"/>
            </a:avLst>
          </a:prstGeom>
          <a:solidFill>
            <a:srgbClr val="A82416"/>
          </a:solidFill>
          <a:ln w="25400" cmpd="sng">
            <a:solidFill>
              <a:srgbClr val="A82416"/>
            </a:solidFill>
            <a:headEnd type="none"/>
            <a:tailEnd type="none"/>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2</xdr:col>
      <xdr:colOff>257175</xdr:colOff>
      <xdr:row>56</xdr:row>
      <xdr:rowOff>95250</xdr:rowOff>
    </xdr:from>
    <xdr:to>
      <xdr:col>2</xdr:col>
      <xdr:colOff>4591050</xdr:colOff>
      <xdr:row>70</xdr:row>
      <xdr:rowOff>104775</xdr:rowOff>
    </xdr:to>
    <xdr:grpSp>
      <xdr:nvGrpSpPr>
        <xdr:cNvPr id="13" name="Group 45"/>
        <xdr:cNvGrpSpPr>
          <a:grpSpLocks/>
        </xdr:cNvGrpSpPr>
      </xdr:nvGrpSpPr>
      <xdr:grpSpPr>
        <a:xfrm>
          <a:off x="1581150" y="10115550"/>
          <a:ext cx="4333875" cy="2466975"/>
          <a:chOff x="761829" y="8896350"/>
          <a:chExt cx="4334046" cy="2552700"/>
        </a:xfrm>
        <a:solidFill>
          <a:srgbClr val="FFFFFF"/>
        </a:solidFill>
      </xdr:grpSpPr>
      <xdr:pic>
        <xdr:nvPicPr>
          <xdr:cNvPr id="14" name="Picture 345"/>
          <xdr:cNvPicPr preferRelativeResize="1">
            <a:picLocks noChangeAspect="1"/>
          </xdr:cNvPicPr>
        </xdr:nvPicPr>
        <xdr:blipFill>
          <a:blip r:embed="rId4"/>
          <a:stretch>
            <a:fillRect/>
          </a:stretch>
        </xdr:blipFill>
        <xdr:spPr>
          <a:xfrm>
            <a:off x="761829" y="8896350"/>
            <a:ext cx="4334046" cy="2552700"/>
          </a:xfrm>
          <a:prstGeom prst="rect">
            <a:avLst/>
          </a:prstGeom>
          <a:noFill/>
          <a:ln w="9525" cmpd="sng">
            <a:noFill/>
          </a:ln>
        </xdr:spPr>
      </xdr:pic>
      <xdr:sp>
        <xdr:nvSpPr>
          <xdr:cNvPr id="15" name="Left Arrow 23"/>
          <xdr:cNvSpPr>
            <a:spLocks/>
          </xdr:cNvSpPr>
        </xdr:nvSpPr>
        <xdr:spPr>
          <a:xfrm rot="18518080">
            <a:off x="4314663" y="10934681"/>
            <a:ext cx="171195" cy="247612"/>
          </a:xfrm>
          <a:prstGeom prst="leftArrow">
            <a:avLst>
              <a:gd name="adj" fmla="val -15384"/>
            </a:avLst>
          </a:prstGeom>
          <a:solidFill>
            <a:srgbClr val="A82416"/>
          </a:solidFill>
          <a:ln w="25400" cmpd="sng">
            <a:solidFill>
              <a:srgbClr val="A82416"/>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16" name="Rounded Rectangle 24"/>
          <xdr:cNvSpPr>
            <a:spLocks/>
          </xdr:cNvSpPr>
        </xdr:nvSpPr>
        <xdr:spPr>
          <a:xfrm>
            <a:off x="799752" y="9953806"/>
            <a:ext cx="904732" cy="247612"/>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17" name="Rounded Rectangle 25"/>
          <xdr:cNvSpPr>
            <a:spLocks/>
          </xdr:cNvSpPr>
        </xdr:nvSpPr>
        <xdr:spPr>
          <a:xfrm>
            <a:off x="1942857" y="10020176"/>
            <a:ext cx="2942817" cy="133379"/>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2</xdr:col>
      <xdr:colOff>4962525</xdr:colOff>
      <xdr:row>55</xdr:row>
      <xdr:rowOff>66675</xdr:rowOff>
    </xdr:from>
    <xdr:to>
      <xdr:col>3</xdr:col>
      <xdr:colOff>657225</xdr:colOff>
      <xdr:row>77</xdr:row>
      <xdr:rowOff>19050</xdr:rowOff>
    </xdr:to>
    <xdr:grpSp>
      <xdr:nvGrpSpPr>
        <xdr:cNvPr id="18" name="Group 46"/>
        <xdr:cNvGrpSpPr>
          <a:grpSpLocks/>
        </xdr:cNvGrpSpPr>
      </xdr:nvGrpSpPr>
      <xdr:grpSpPr>
        <a:xfrm>
          <a:off x="6286500" y="9906000"/>
          <a:ext cx="3314700" cy="3724275"/>
          <a:chOff x="5467351" y="8686800"/>
          <a:chExt cx="3314700" cy="3938487"/>
        </a:xfrm>
        <a:solidFill>
          <a:srgbClr val="FFFFFF"/>
        </a:solidFill>
      </xdr:grpSpPr>
      <xdr:pic>
        <xdr:nvPicPr>
          <xdr:cNvPr id="19" name="Picture 353"/>
          <xdr:cNvPicPr preferRelativeResize="1">
            <a:picLocks noChangeAspect="1"/>
          </xdr:cNvPicPr>
        </xdr:nvPicPr>
        <xdr:blipFill>
          <a:blip r:embed="rId5"/>
          <a:stretch>
            <a:fillRect/>
          </a:stretch>
        </xdr:blipFill>
        <xdr:spPr>
          <a:xfrm>
            <a:off x="5467351" y="8934925"/>
            <a:ext cx="3314700" cy="3690362"/>
          </a:xfrm>
          <a:prstGeom prst="rect">
            <a:avLst/>
          </a:prstGeom>
          <a:noFill/>
          <a:ln w="9525" cmpd="sng">
            <a:noFill/>
          </a:ln>
        </xdr:spPr>
      </xdr:pic>
      <xdr:sp>
        <xdr:nvSpPr>
          <xdr:cNvPr id="20" name="Left Arrow 28"/>
          <xdr:cNvSpPr>
            <a:spLocks/>
          </xdr:cNvSpPr>
        </xdr:nvSpPr>
        <xdr:spPr>
          <a:xfrm rot="18518080">
            <a:off x="5696065" y="8686800"/>
            <a:ext cx="171536" cy="248125"/>
          </a:xfrm>
          <a:prstGeom prst="leftArrow">
            <a:avLst>
              <a:gd name="adj" fmla="val -15425"/>
            </a:avLst>
          </a:prstGeom>
          <a:solidFill>
            <a:srgbClr val="A82416"/>
          </a:solidFill>
          <a:ln w="25400" cmpd="sng">
            <a:solidFill>
              <a:srgbClr val="A82416"/>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21" name="Rounded Rectangle 29"/>
          <xdr:cNvSpPr>
            <a:spLocks/>
          </xdr:cNvSpPr>
        </xdr:nvSpPr>
        <xdr:spPr>
          <a:xfrm flipV="1">
            <a:off x="5476466" y="10307487"/>
            <a:ext cx="904913" cy="352495"/>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22" name="Rounded Rectangle 30"/>
          <xdr:cNvSpPr>
            <a:spLocks/>
          </xdr:cNvSpPr>
        </xdr:nvSpPr>
        <xdr:spPr>
          <a:xfrm>
            <a:off x="6391324" y="10679674"/>
            <a:ext cx="2286314" cy="439141"/>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2</xdr:col>
      <xdr:colOff>3314700</xdr:colOff>
      <xdr:row>12</xdr:row>
      <xdr:rowOff>9525</xdr:rowOff>
    </xdr:from>
    <xdr:to>
      <xdr:col>4</xdr:col>
      <xdr:colOff>1057275</xdr:colOff>
      <xdr:row>34</xdr:row>
      <xdr:rowOff>28575</xdr:rowOff>
    </xdr:to>
    <xdr:grpSp>
      <xdr:nvGrpSpPr>
        <xdr:cNvPr id="23" name="Group 4"/>
        <xdr:cNvGrpSpPr>
          <a:grpSpLocks/>
        </xdr:cNvGrpSpPr>
      </xdr:nvGrpSpPr>
      <xdr:grpSpPr>
        <a:xfrm>
          <a:off x="4638675" y="2286000"/>
          <a:ext cx="6086475" cy="3743325"/>
          <a:chOff x="6808263" y="1293035"/>
          <a:chExt cx="1232112" cy="780840"/>
        </a:xfrm>
        <a:solidFill>
          <a:srgbClr val="FFFFFF"/>
        </a:solidFill>
      </xdr:grpSpPr>
      <xdr:sp>
        <xdr:nvSpPr>
          <xdr:cNvPr id="24" name="Rectangle 37"/>
          <xdr:cNvSpPr>
            <a:spLocks/>
          </xdr:cNvSpPr>
        </xdr:nvSpPr>
        <xdr:spPr>
          <a:xfrm>
            <a:off x="6868020" y="1293035"/>
            <a:ext cx="1172355" cy="768932"/>
          </a:xfrm>
          <a:prstGeom prst="rect">
            <a:avLst/>
          </a:prstGeom>
          <a:solidFill>
            <a:srgbClr val="DC6900"/>
          </a:solidFill>
          <a:ln w="25400" cmpd="sng">
            <a:noFill/>
          </a:ln>
        </xdr:spPr>
        <xdr:txBody>
          <a:bodyPr vertOverflow="clip" wrap="square" lIns="91440" tIns="108000" rIns="91440" bIns="45720"/>
          <a:p>
            <a:pPr algn="l">
              <a:defRPr/>
            </a:pPr>
            <a:r>
              <a:rPr lang="en-US" cap="none" sz="1600" b="1" i="1" u="none" baseline="0">
                <a:solidFill>
                  <a:srgbClr val="FFFFFF"/>
                </a:solidFill>
              </a:rPr>
              <a:t>O </a:t>
            </a:r>
            <a:r>
              <a:rPr lang="en-US" cap="none" sz="1600" b="1" i="1" u="none" baseline="0">
                <a:solidFill>
                  <a:srgbClr val="FFFFFF"/>
                </a:solidFill>
              </a:rPr>
              <a:t>Simulador requer a utilização de uma versão do Microsoft Office Excel 2007 ou</a:t>
            </a:r>
            <a:r>
              <a:rPr lang="en-US" cap="none" sz="1600" b="1" i="1" u="none" baseline="0">
                <a:solidFill>
                  <a:srgbClr val="FFFFFF"/>
                </a:solidFill>
              </a:rPr>
              <a:t> outra compatível</a:t>
            </a:r>
            <a:r>
              <a:rPr lang="en-US" cap="none" sz="1600" b="1" i="1" u="none" baseline="0">
                <a:solidFill>
                  <a:srgbClr val="FFFFFF"/>
                </a:solidFill>
              </a:rPr>
              <a:t>.
</a:t>
            </a:r>
            <a:r>
              <a:rPr lang="en-US" cap="none" sz="1200" b="1" i="0" u="none" baseline="0">
                <a:solidFill>
                  <a:srgbClr val="FFFFFF"/>
                </a:solidFill>
              </a:rPr>
              <a:t>
</a:t>
            </a:r>
            <a:r>
              <a:rPr lang="en-US" cap="none" sz="1250" b="1" i="0" u="none" baseline="0">
                <a:solidFill>
                  <a:srgbClr val="FFFFFF"/>
                </a:solidFill>
              </a:rPr>
              <a:t>Se </a:t>
            </a:r>
            <a:r>
              <a:rPr lang="en-US" cap="none" sz="1250" b="1" i="0" u="none" baseline="0">
                <a:solidFill>
                  <a:srgbClr val="FFFFFF"/>
                </a:solidFill>
              </a:rPr>
              <a:t> observar problemas na execução das macros deverá seguir os passos abaixo elencados.
</a:t>
            </a:r>
            <a:r>
              <a:rPr lang="en-US" cap="none" sz="1250" b="1" i="0" u="none" baseline="0">
                <a:solidFill>
                  <a:srgbClr val="FFFFFF"/>
                </a:solidFill>
              </a:rPr>
              <a:t>
</a:t>
            </a:r>
            <a:r>
              <a:rPr lang="en-US" cap="none" sz="1250" b="1" i="0" u="none" baseline="0">
                <a:solidFill>
                  <a:srgbClr val="FFFFFF"/>
                </a:solidFill>
              </a:rPr>
              <a:t>Passos para o utilizador que possua o Microsoft Office Excel 
em Inglês: 
</a:t>
            </a:r>
            <a:r>
              <a:rPr lang="en-US" cap="none" sz="1250" b="1" i="0" u="none" baseline="0">
                <a:solidFill>
                  <a:srgbClr val="FFFFFF"/>
                </a:solidFill>
              </a:rPr>
              <a:t>
</a:t>
            </a:r>
            <a:r>
              <a:rPr lang="en-US" cap="none" sz="1250" b="0" i="0" u="none" baseline="0">
                <a:solidFill>
                  <a:srgbClr val="FFFFFF"/>
                </a:solidFill>
              </a:rPr>
              <a:t>Botão iniciar</a:t>
            </a:r>
            <a:r>
              <a:rPr lang="en-US" cap="none" sz="1250" b="0" i="0" u="none" baseline="0">
                <a:solidFill>
                  <a:srgbClr val="FFFFFF"/>
                </a:solidFill>
              </a:rPr>
              <a:t> </a:t>
            </a:r>
            <a:r>
              <a:rPr lang="en-US" cap="none" sz="1250" b="0" i="0" u="none" baseline="0">
                <a:solidFill>
                  <a:srgbClr val="FFFFFF"/>
                </a:solidFill>
              </a:rPr>
              <a:t>do Excel – Excel Options – Trust Center –  Trust Center Settings 
– Macro Settings – Enable all Macros (not recommended, potentially dangerous code can run) </a:t>
            </a:r>
            <a:r>
              <a:rPr lang="en-US" cap="none" sz="1250" b="0" i="0" u="none" baseline="0">
                <a:solidFill>
                  <a:srgbClr val="FFFFFF"/>
                </a:solidFill>
              </a:rPr>
              <a:t> </a:t>
            </a:r>
            <a:r>
              <a:rPr lang="en-US" cap="none" sz="1100" b="0" i="0" u="none" baseline="0">
                <a:solidFill>
                  <a:srgbClr val="FFFFFF"/>
                </a:solidFill>
                <a:latin typeface="Arial"/>
                <a:ea typeface="Arial"/>
                <a:cs typeface="Arial"/>
              </a:rPr>
              <a:t>–</a:t>
            </a:r>
            <a:r>
              <a:rPr lang="en-US" cap="none" sz="1250" b="0" i="0" u="none" baseline="0">
                <a:solidFill>
                  <a:srgbClr val="FFFFFF"/>
                </a:solidFill>
              </a:rPr>
              <a:t> OK</a:t>
            </a:r>
            <a:r>
              <a:rPr lang="en-US" cap="none" sz="1250" b="0" i="0" u="none" baseline="0">
                <a:solidFill>
                  <a:srgbClr val="FFFFFF"/>
                </a:solidFill>
              </a:rPr>
              <a:t>
</a:t>
            </a:r>
            <a:r>
              <a:rPr lang="en-US" cap="none" sz="1250" b="0" i="0" u="none" baseline="0">
                <a:solidFill>
                  <a:srgbClr val="FFFFFF"/>
                </a:solidFill>
              </a:rPr>
              <a:t>
</a:t>
            </a:r>
            <a:r>
              <a:rPr lang="en-US" cap="none" sz="1250" b="0" i="0" u="none" baseline="0">
                <a:solidFill>
                  <a:srgbClr val="FFFFFF"/>
                </a:solidFill>
              </a:rPr>
              <a:t>Seguidamente deverá guardar o documento conforme segue: Botão Iniciar do Excel – Save as Excel 1997 - 2003.
</a:t>
            </a:r>
            <a:r>
              <a:rPr lang="en-US" cap="none" sz="1250" b="0" i="0" u="none" baseline="0">
                <a:solidFill>
                  <a:srgbClr val="FFFFFF"/>
                </a:solidFill>
              </a:rPr>
              <a:t> 
</a:t>
            </a:r>
            <a:r>
              <a:rPr lang="en-US" cap="none" sz="1250" b="0" i="0" u="none" baseline="0">
                <a:solidFill>
                  <a:srgbClr val="FFFFFF"/>
                </a:solidFill>
              </a:rPr>
              <a:t>Fechar e voltar a abrir o documento gravado. 
Veja abaixo as opções a selecionar:</a:t>
            </a:r>
          </a:p>
        </xdr:txBody>
      </xdr:sp>
      <xdr:sp>
        <xdr:nvSpPr>
          <xdr:cNvPr id="25" name="Rectangle 38"/>
          <xdr:cNvSpPr>
            <a:spLocks/>
          </xdr:cNvSpPr>
        </xdr:nvSpPr>
        <xdr:spPr>
          <a:xfrm>
            <a:off x="6808263" y="2060015"/>
            <a:ext cx="59757" cy="13860"/>
          </a:xfrm>
          <a:prstGeom prst="rect">
            <a:avLst/>
          </a:prstGeom>
          <a:solidFill>
            <a:srgbClr val="DC6900"/>
          </a:solid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editAs="oneCell">
    <xdr:from>
      <xdr:col>0</xdr:col>
      <xdr:colOff>342900</xdr:colOff>
      <xdr:row>4</xdr:row>
      <xdr:rowOff>209550</xdr:rowOff>
    </xdr:from>
    <xdr:to>
      <xdr:col>2</xdr:col>
      <xdr:colOff>0</xdr:colOff>
      <xdr:row>5</xdr:row>
      <xdr:rowOff>714375</xdr:rowOff>
    </xdr:to>
    <xdr:pic>
      <xdr:nvPicPr>
        <xdr:cNvPr id="26" name="Image1"/>
        <xdr:cNvPicPr preferRelativeResize="1">
          <a:picLocks noChangeAspect="1"/>
        </xdr:cNvPicPr>
      </xdr:nvPicPr>
      <xdr:blipFill>
        <a:blip r:embed="rId6"/>
        <a:stretch>
          <a:fillRect/>
        </a:stretch>
      </xdr:blipFill>
      <xdr:spPr>
        <a:xfrm>
          <a:off x="342900" y="781050"/>
          <a:ext cx="981075" cy="762000"/>
        </a:xfrm>
        <a:prstGeom prst="rect">
          <a:avLst/>
        </a:prstGeom>
        <a:noFill/>
        <a:ln w="9525" cmpd="sng">
          <a:noFill/>
        </a:ln>
      </xdr:spPr>
    </xdr:pic>
    <xdr:clientData fLocksWithSheet="0"/>
  </xdr:twoCellAnchor>
  <xdr:oneCellAnchor>
    <xdr:from>
      <xdr:col>2</xdr:col>
      <xdr:colOff>5791200</xdr:colOff>
      <xdr:row>89</xdr:row>
      <xdr:rowOff>76200</xdr:rowOff>
    </xdr:from>
    <xdr:ext cx="1266825" cy="666750"/>
    <xdr:grpSp>
      <xdr:nvGrpSpPr>
        <xdr:cNvPr id="27" name="Group 2">
          <a:hlinkClick r:id="rId7"/>
        </xdr:cNvPr>
        <xdr:cNvGrpSpPr>
          <a:grpSpLocks/>
        </xdr:cNvGrpSpPr>
      </xdr:nvGrpSpPr>
      <xdr:grpSpPr>
        <a:xfrm>
          <a:off x="7115175" y="15630525"/>
          <a:ext cx="1266825" cy="666750"/>
          <a:chOff x="6777115" y="1419152"/>
          <a:chExt cx="1172350" cy="512296"/>
        </a:xfrm>
        <a:solidFill>
          <a:srgbClr val="FFFFFF"/>
        </a:solidFill>
      </xdr:grpSpPr>
      <xdr:sp>
        <xdr:nvSpPr>
          <xdr:cNvPr id="28" name="Rectangle 43"/>
          <xdr:cNvSpPr>
            <a:spLocks/>
          </xdr:cNvSpPr>
        </xdr:nvSpPr>
        <xdr:spPr>
          <a:xfrm>
            <a:off x="6874127" y="1419152"/>
            <a:ext cx="1075338" cy="492573"/>
          </a:xfrm>
          <a:prstGeom prst="rect">
            <a:avLst/>
          </a:prstGeom>
          <a:solidFill>
            <a:srgbClr val="DC6900"/>
          </a:solidFill>
          <a:ln w="25400" cmpd="sng">
            <a:solidFill>
              <a:srgbClr val="FFFFFF"/>
            </a:solidFill>
            <a:headEnd type="none"/>
            <a:tailEnd type="none"/>
          </a:ln>
        </xdr:spPr>
        <xdr:txBody>
          <a:bodyPr vertOverflow="clip" wrap="square"/>
          <a:p>
            <a:pPr algn="l">
              <a:defRPr/>
            </a:pPr>
            <a:r>
              <a:rPr lang="en-US" cap="none" sz="1400" b="1" i="0" u="none" baseline="0">
                <a:solidFill>
                  <a:srgbClr val="FFFFFF"/>
                </a:solidFill>
              </a:rPr>
              <a:t>Simular IRS 2014</a:t>
            </a:r>
          </a:p>
        </xdr:txBody>
      </xdr:sp>
      <xdr:sp>
        <xdr:nvSpPr>
          <xdr:cNvPr id="29" name="Rectangle 44"/>
          <xdr:cNvSpPr>
            <a:spLocks/>
          </xdr:cNvSpPr>
        </xdr:nvSpPr>
        <xdr:spPr>
          <a:xfrm>
            <a:off x="6777115" y="1911725"/>
            <a:ext cx="105805" cy="19723"/>
          </a:xfrm>
          <a:prstGeom prst="rect">
            <a:avLst/>
          </a:prstGeom>
          <a:solidFill>
            <a:srgbClr val="DC6900"/>
          </a:solid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oneCellAnchor>
  <xdr:oneCellAnchor>
    <xdr:from>
      <xdr:col>3</xdr:col>
      <xdr:colOff>38100</xdr:colOff>
      <xdr:row>3</xdr:row>
      <xdr:rowOff>95250</xdr:rowOff>
    </xdr:from>
    <xdr:ext cx="1266825" cy="752475"/>
    <xdr:grpSp>
      <xdr:nvGrpSpPr>
        <xdr:cNvPr id="30" name="Group 2">
          <a:hlinkClick r:id="rId8"/>
        </xdr:cNvPr>
        <xdr:cNvGrpSpPr>
          <a:grpSpLocks/>
        </xdr:cNvGrpSpPr>
      </xdr:nvGrpSpPr>
      <xdr:grpSpPr>
        <a:xfrm>
          <a:off x="8982075" y="409575"/>
          <a:ext cx="1266825" cy="752475"/>
          <a:chOff x="6777115" y="1419152"/>
          <a:chExt cx="1172350" cy="512296"/>
        </a:xfrm>
        <a:solidFill>
          <a:srgbClr val="FFFFFF"/>
        </a:solidFill>
      </xdr:grpSpPr>
      <xdr:sp>
        <xdr:nvSpPr>
          <xdr:cNvPr id="31" name="Rectangle 46"/>
          <xdr:cNvSpPr>
            <a:spLocks/>
          </xdr:cNvSpPr>
        </xdr:nvSpPr>
        <xdr:spPr>
          <a:xfrm>
            <a:off x="6874127" y="1419152"/>
            <a:ext cx="1075338" cy="492829"/>
          </a:xfrm>
          <a:prstGeom prst="rect">
            <a:avLst/>
          </a:prstGeom>
          <a:solidFill>
            <a:srgbClr val="DC6900"/>
          </a:solidFill>
          <a:ln w="25400" cmpd="sng">
            <a:noFill/>
          </a:ln>
        </xdr:spPr>
        <xdr:txBody>
          <a:bodyPr vertOverflow="clip" wrap="square"/>
          <a:p>
            <a:pPr algn="l">
              <a:defRPr/>
            </a:pPr>
            <a:r>
              <a:rPr lang="en-US" cap="none" sz="1400" b="1" i="0" u="none" baseline="0">
                <a:solidFill>
                  <a:srgbClr val="FFFFFF"/>
                </a:solidFill>
              </a:rPr>
              <a:t>Simular IRS 2014</a:t>
            </a:r>
          </a:p>
        </xdr:txBody>
      </xdr:sp>
      <xdr:sp>
        <xdr:nvSpPr>
          <xdr:cNvPr id="32" name="Rectangle 47"/>
          <xdr:cNvSpPr>
            <a:spLocks/>
          </xdr:cNvSpPr>
        </xdr:nvSpPr>
        <xdr:spPr>
          <a:xfrm>
            <a:off x="6777115" y="1911981"/>
            <a:ext cx="105805" cy="19467"/>
          </a:xfrm>
          <a:prstGeom prst="rect">
            <a:avLst/>
          </a:prstGeom>
          <a:solidFill>
            <a:srgbClr val="DC6900"/>
          </a:solid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22</xdr:row>
      <xdr:rowOff>0</xdr:rowOff>
    </xdr:from>
    <xdr:to>
      <xdr:col>3</xdr:col>
      <xdr:colOff>38100</xdr:colOff>
      <xdr:row>22</xdr:row>
      <xdr:rowOff>0</xdr:rowOff>
    </xdr:to>
    <xdr:grpSp>
      <xdr:nvGrpSpPr>
        <xdr:cNvPr id="1" name="Group 13"/>
        <xdr:cNvGrpSpPr>
          <a:grpSpLocks/>
        </xdr:cNvGrpSpPr>
      </xdr:nvGrpSpPr>
      <xdr:grpSpPr>
        <a:xfrm>
          <a:off x="2571750" y="4067175"/>
          <a:ext cx="38100" cy="0"/>
          <a:chOff x="2533649" y="8667749"/>
          <a:chExt cx="200025" cy="3601131"/>
        </a:xfrm>
        <a:solidFill>
          <a:srgbClr val="FFFFFF"/>
        </a:solidFill>
      </xdr:grpSpPr>
      <xdr:sp>
        <xdr:nvSpPr>
          <xdr:cNvPr id="2" name="TextBox 2">
            <a:hlinkClick r:id="rId1"/>
          </xdr:cNvPr>
          <xdr:cNvSpPr txBox="1">
            <a:spLocks noChangeArrowheads="1"/>
          </xdr:cNvSpPr>
        </xdr:nvSpPr>
        <xdr:spPr>
          <a:xfrm>
            <a:off x="2533649" y="4068205"/>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800000"/>
                </a:solidFill>
                <a:latin typeface="Arial"/>
                <a:ea typeface="Arial"/>
                <a:cs typeface="Arial"/>
              </a:rPr>
              <a:t></a:t>
            </a:r>
          </a:p>
        </xdr:txBody>
      </xdr:sp>
      <xdr:sp>
        <xdr:nvSpPr>
          <xdr:cNvPr id="3" name="TextBox 3">
            <a:hlinkClick r:id="rId2"/>
          </xdr:cNvPr>
          <xdr:cNvSpPr txBox="1">
            <a:spLocks noChangeArrowheads="1"/>
          </xdr:cNvSpPr>
        </xdr:nvSpPr>
        <xdr:spPr>
          <a:xfrm>
            <a:off x="2533649" y="4068205"/>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800000"/>
                </a:solidFill>
                <a:latin typeface="Arial"/>
                <a:ea typeface="Arial"/>
                <a:cs typeface="Arial"/>
              </a:rPr>
              <a:t></a:t>
            </a:r>
          </a:p>
        </xdr:txBody>
      </xdr:sp>
      <xdr:sp>
        <xdr:nvSpPr>
          <xdr:cNvPr id="4" name="TextBox 4">
            <a:hlinkClick r:id="rId3"/>
          </xdr:cNvPr>
          <xdr:cNvSpPr txBox="1">
            <a:spLocks noChangeArrowheads="1"/>
          </xdr:cNvSpPr>
        </xdr:nvSpPr>
        <xdr:spPr>
          <a:xfrm>
            <a:off x="2533649" y="4068205"/>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800000"/>
                </a:solidFill>
                <a:latin typeface="Arial"/>
                <a:ea typeface="Arial"/>
                <a:cs typeface="Arial"/>
              </a:rPr>
              <a:t></a:t>
            </a:r>
          </a:p>
        </xdr:txBody>
      </xdr:sp>
      <xdr:sp>
        <xdr:nvSpPr>
          <xdr:cNvPr id="5" name="TextBox 5">
            <a:hlinkClick r:id="rId4"/>
          </xdr:cNvPr>
          <xdr:cNvSpPr txBox="1">
            <a:spLocks noChangeArrowheads="1"/>
          </xdr:cNvSpPr>
        </xdr:nvSpPr>
        <xdr:spPr>
          <a:xfrm>
            <a:off x="2533649" y="4068205"/>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800000"/>
                </a:solidFill>
                <a:latin typeface="Arial"/>
                <a:ea typeface="Arial"/>
                <a:cs typeface="Arial"/>
              </a:rPr>
              <a:t></a:t>
            </a:r>
          </a:p>
        </xdr:txBody>
      </xdr:sp>
      <xdr:sp>
        <xdr:nvSpPr>
          <xdr:cNvPr id="6" name="TextBox 6">
            <a:hlinkClick r:id="rId5"/>
          </xdr:cNvPr>
          <xdr:cNvSpPr txBox="1">
            <a:spLocks noChangeArrowheads="1"/>
          </xdr:cNvSpPr>
        </xdr:nvSpPr>
        <xdr:spPr>
          <a:xfrm>
            <a:off x="2533649" y="4068205"/>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800000"/>
                </a:solidFill>
                <a:latin typeface="Arial"/>
                <a:ea typeface="Arial"/>
                <a:cs typeface="Arial"/>
              </a:rPr>
              <a:t></a:t>
            </a:r>
          </a:p>
        </xdr:txBody>
      </xdr:sp>
      <xdr:sp>
        <xdr:nvSpPr>
          <xdr:cNvPr id="7" name="TextBox 7">
            <a:hlinkClick r:id="rId6"/>
          </xdr:cNvPr>
          <xdr:cNvSpPr txBox="1">
            <a:spLocks noChangeArrowheads="1"/>
          </xdr:cNvSpPr>
        </xdr:nvSpPr>
        <xdr:spPr>
          <a:xfrm>
            <a:off x="2533649" y="4068205"/>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800000"/>
                </a:solidFill>
                <a:latin typeface="Arial"/>
                <a:ea typeface="Arial"/>
                <a:cs typeface="Arial"/>
              </a:rPr>
              <a:t></a:t>
            </a:r>
          </a:p>
        </xdr:txBody>
      </xdr:sp>
      <xdr:sp>
        <xdr:nvSpPr>
          <xdr:cNvPr id="8" name="TextBox 8">
            <a:hlinkClick r:id="rId7"/>
          </xdr:cNvPr>
          <xdr:cNvSpPr txBox="1">
            <a:spLocks noChangeArrowheads="1"/>
          </xdr:cNvSpPr>
        </xdr:nvSpPr>
        <xdr:spPr>
          <a:xfrm>
            <a:off x="2533649" y="4068205"/>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800000"/>
                </a:solidFill>
                <a:latin typeface="Arial"/>
                <a:ea typeface="Arial"/>
                <a:cs typeface="Arial"/>
              </a:rPr>
              <a:t></a:t>
            </a:r>
          </a:p>
        </xdr:txBody>
      </xdr:sp>
      <xdr:sp>
        <xdr:nvSpPr>
          <xdr:cNvPr id="9" name="TextBox 9">
            <a:hlinkClick r:id="rId8"/>
          </xdr:cNvPr>
          <xdr:cNvSpPr txBox="1">
            <a:spLocks noChangeArrowheads="1"/>
          </xdr:cNvSpPr>
        </xdr:nvSpPr>
        <xdr:spPr>
          <a:xfrm>
            <a:off x="2533649" y="4068205"/>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800000"/>
                </a:solidFill>
                <a:latin typeface="Arial"/>
                <a:ea typeface="Arial"/>
                <a:cs typeface="Arial"/>
              </a:rPr>
              <a:t></a:t>
            </a:r>
          </a:p>
        </xdr:txBody>
      </xdr:sp>
      <xdr:sp>
        <xdr:nvSpPr>
          <xdr:cNvPr id="10" name="TextBox 10">
            <a:hlinkClick r:id="rId9"/>
          </xdr:cNvPr>
          <xdr:cNvSpPr txBox="1">
            <a:spLocks noChangeArrowheads="1"/>
          </xdr:cNvSpPr>
        </xdr:nvSpPr>
        <xdr:spPr>
          <a:xfrm>
            <a:off x="2533649" y="4068205"/>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800000"/>
                </a:solidFill>
                <a:latin typeface="Arial"/>
                <a:ea typeface="Arial"/>
                <a:cs typeface="Arial"/>
              </a:rPr>
              <a:t></a:t>
            </a:r>
          </a:p>
        </xdr:txBody>
      </xdr:sp>
    </xdr:grpSp>
    <xdr:clientData fLocksWithSheet="0"/>
  </xdr:twoCellAnchor>
  <xdr:twoCellAnchor editAs="absolute">
    <xdr:from>
      <xdr:col>6</xdr:col>
      <xdr:colOff>247650</xdr:colOff>
      <xdr:row>0</xdr:row>
      <xdr:rowOff>171450</xdr:rowOff>
    </xdr:from>
    <xdr:to>
      <xdr:col>9</xdr:col>
      <xdr:colOff>647700</xdr:colOff>
      <xdr:row>3</xdr:row>
      <xdr:rowOff>552450</xdr:rowOff>
    </xdr:to>
    <xdr:grpSp>
      <xdr:nvGrpSpPr>
        <xdr:cNvPr id="11" name="Group 24">
          <a:hlinkClick r:id="rId10"/>
        </xdr:cNvPr>
        <xdr:cNvGrpSpPr>
          <a:grpSpLocks/>
        </xdr:cNvGrpSpPr>
      </xdr:nvGrpSpPr>
      <xdr:grpSpPr>
        <a:xfrm>
          <a:off x="8362950" y="171450"/>
          <a:ext cx="1552575" cy="1028700"/>
          <a:chOff x="6777115" y="1327201"/>
          <a:chExt cx="1172349" cy="602207"/>
        </a:xfrm>
        <a:solidFill>
          <a:srgbClr val="FFFFFF"/>
        </a:solidFill>
      </xdr:grpSpPr>
      <xdr:sp>
        <xdr:nvSpPr>
          <xdr:cNvPr id="12" name="Rectangle 12"/>
          <xdr:cNvSpPr>
            <a:spLocks/>
          </xdr:cNvSpPr>
        </xdr:nvSpPr>
        <xdr:spPr>
          <a:xfrm>
            <a:off x="6877937" y="1327201"/>
            <a:ext cx="1071527" cy="585496"/>
          </a:xfrm>
          <a:prstGeom prst="rect">
            <a:avLst/>
          </a:prstGeom>
          <a:solidFill>
            <a:srgbClr val="602320"/>
          </a:solidFill>
          <a:ln w="25400" cmpd="sng">
            <a:noFill/>
          </a:ln>
        </xdr:spPr>
        <xdr:txBody>
          <a:bodyPr vertOverflow="clip" wrap="square" anchor="ctr"/>
          <a:p>
            <a:pPr algn="l">
              <a:defRPr/>
            </a:pPr>
            <a:r>
              <a:rPr lang="en-US" cap="none" sz="1100" b="1" i="1" u="none" baseline="0">
                <a:solidFill>
                  <a:srgbClr val="FFFFFF"/>
                </a:solidFill>
              </a:rPr>
              <a:t>A utilização deste</a:t>
            </a:r>
            <a:r>
              <a:rPr lang="en-US" cap="none" sz="1100" b="1" i="1" u="none" baseline="0">
                <a:solidFill>
                  <a:srgbClr val="FFFFFF"/>
                </a:solidFill>
              </a:rPr>
              <a:t> simulador não dispensa a c</a:t>
            </a:r>
            <a:r>
              <a:rPr lang="en-US" cap="none" sz="1100" b="1" i="1" u="none" baseline="0">
                <a:solidFill>
                  <a:srgbClr val="FFFFFF"/>
                </a:solidFill>
              </a:rPr>
              <a:t>onsulta  do disclaimer</a:t>
            </a:r>
          </a:p>
        </xdr:txBody>
      </xdr:sp>
      <xdr:sp>
        <xdr:nvSpPr>
          <xdr:cNvPr id="13" name="Rectangle 13"/>
          <xdr:cNvSpPr>
            <a:spLocks/>
          </xdr:cNvSpPr>
        </xdr:nvSpPr>
        <xdr:spPr>
          <a:xfrm>
            <a:off x="6777115" y="1907126"/>
            <a:ext cx="107856" cy="22282"/>
          </a:xfrm>
          <a:prstGeom prst="rect">
            <a:avLst/>
          </a:prstGeom>
          <a:solidFill>
            <a:srgbClr val="602320"/>
          </a:solid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oneCellAnchor>
    <xdr:from>
      <xdr:col>5</xdr:col>
      <xdr:colOff>133350</xdr:colOff>
      <xdr:row>68</xdr:row>
      <xdr:rowOff>295275</xdr:rowOff>
    </xdr:from>
    <xdr:ext cx="1552575" cy="1038225"/>
    <xdr:grpSp>
      <xdr:nvGrpSpPr>
        <xdr:cNvPr id="14" name="Group 2">
          <a:hlinkClick r:id="rId11"/>
        </xdr:cNvPr>
        <xdr:cNvGrpSpPr>
          <a:grpSpLocks/>
        </xdr:cNvGrpSpPr>
      </xdr:nvGrpSpPr>
      <xdr:grpSpPr>
        <a:xfrm>
          <a:off x="7115175" y="7972425"/>
          <a:ext cx="1552575" cy="1038225"/>
          <a:chOff x="6777115" y="1327201"/>
          <a:chExt cx="1172350" cy="604247"/>
        </a:xfrm>
        <a:solidFill>
          <a:srgbClr val="FFFFFF"/>
        </a:solidFill>
      </xdr:grpSpPr>
      <xdr:sp>
        <xdr:nvSpPr>
          <xdr:cNvPr id="15" name="Rectangle 15"/>
          <xdr:cNvSpPr>
            <a:spLocks/>
          </xdr:cNvSpPr>
        </xdr:nvSpPr>
        <xdr:spPr>
          <a:xfrm>
            <a:off x="6877937" y="1327201"/>
            <a:ext cx="1071528" cy="587630"/>
          </a:xfrm>
          <a:prstGeom prst="rect">
            <a:avLst/>
          </a:prstGeom>
          <a:solidFill>
            <a:srgbClr val="DC6900"/>
          </a:solidFill>
          <a:ln w="25400" cmpd="sng">
            <a:noFill/>
          </a:ln>
        </xdr:spPr>
        <xdr:txBody>
          <a:bodyPr vertOverflow="clip" wrap="square"/>
          <a:p>
            <a:pPr algn="l">
              <a:defRPr/>
            </a:pPr>
            <a:r>
              <a:rPr lang="en-US" cap="none" sz="1100" b="1" i="1" u="none" baseline="0">
                <a:solidFill>
                  <a:srgbClr val="FFFFFF"/>
                </a:solidFill>
              </a:rPr>
              <a:t>O essencial</a:t>
            </a:r>
            <a:r>
              <a:rPr lang="en-US" cap="none" sz="1100" b="1" i="1" u="none" baseline="0">
                <a:solidFill>
                  <a:srgbClr val="FFFFFF"/>
                </a:solidFill>
              </a:rPr>
              <a:t> 
do Orçamento do Estado 
para 2014</a:t>
            </a:r>
          </a:p>
        </xdr:txBody>
      </xdr:sp>
      <xdr:sp>
        <xdr:nvSpPr>
          <xdr:cNvPr id="16" name="Rectangle 16"/>
          <xdr:cNvSpPr>
            <a:spLocks/>
          </xdr:cNvSpPr>
        </xdr:nvSpPr>
        <xdr:spPr>
          <a:xfrm>
            <a:off x="6777115" y="1909242"/>
            <a:ext cx="107856" cy="22206"/>
          </a:xfrm>
          <a:prstGeom prst="rect">
            <a:avLst/>
          </a:prstGeom>
          <a:solidFill>
            <a:srgbClr val="DC6900"/>
          </a:solid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oneCellAnchor>
  <xdr:twoCellAnchor>
    <xdr:from>
      <xdr:col>0</xdr:col>
      <xdr:colOff>676275</xdr:colOff>
      <xdr:row>3</xdr:row>
      <xdr:rowOff>76200</xdr:rowOff>
    </xdr:from>
    <xdr:to>
      <xdr:col>0</xdr:col>
      <xdr:colOff>1533525</xdr:colOff>
      <xdr:row>3</xdr:row>
      <xdr:rowOff>809625</xdr:rowOff>
    </xdr:to>
    <xdr:sp fLocksText="0">
      <xdr:nvSpPr>
        <xdr:cNvPr id="17" name="TextBox 29"/>
        <xdr:cNvSpPr txBox="1">
          <a:spLocks noChangeArrowheads="1"/>
        </xdr:cNvSpPr>
      </xdr:nvSpPr>
      <xdr:spPr>
        <a:xfrm>
          <a:off x="676275" y="723900"/>
          <a:ext cx="857250" cy="733425"/>
        </a:xfrm>
        <a:prstGeom prst="rect">
          <a:avLst/>
        </a:prstGeom>
        <a:blipFill>
          <a:blip r:embed="rId2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180975</xdr:colOff>
      <xdr:row>48</xdr:row>
      <xdr:rowOff>57150</xdr:rowOff>
    </xdr:from>
    <xdr:to>
      <xdr:col>2</xdr:col>
      <xdr:colOff>76200</xdr:colOff>
      <xdr:row>51</xdr:row>
      <xdr:rowOff>66675</xdr:rowOff>
    </xdr:to>
    <xdr:pic>
      <xdr:nvPicPr>
        <xdr:cNvPr id="18" name="Picture 31" descr="Rendimento do trabalho - setor privado1.png"/>
        <xdr:cNvPicPr preferRelativeResize="1">
          <a:picLocks noChangeAspect="1"/>
        </xdr:cNvPicPr>
      </xdr:nvPicPr>
      <xdr:blipFill>
        <a:blip r:embed="rId12"/>
        <a:srcRect b="30555"/>
        <a:stretch>
          <a:fillRect/>
        </a:stretch>
      </xdr:blipFill>
      <xdr:spPr>
        <a:xfrm>
          <a:off x="1866900" y="4286250"/>
          <a:ext cx="695325" cy="723900"/>
        </a:xfrm>
        <a:prstGeom prst="rect">
          <a:avLst/>
        </a:prstGeom>
        <a:noFill/>
        <a:ln w="9525" cmpd="sng">
          <a:noFill/>
        </a:ln>
      </xdr:spPr>
    </xdr:pic>
    <xdr:clientData/>
  </xdr:twoCellAnchor>
  <xdr:twoCellAnchor editAs="oneCell">
    <xdr:from>
      <xdr:col>4</xdr:col>
      <xdr:colOff>504825</xdr:colOff>
      <xdr:row>9</xdr:row>
      <xdr:rowOff>19050</xdr:rowOff>
    </xdr:from>
    <xdr:to>
      <xdr:col>4</xdr:col>
      <xdr:colOff>1009650</xdr:colOff>
      <xdr:row>9</xdr:row>
      <xdr:rowOff>238125</xdr:rowOff>
    </xdr:to>
    <xdr:pic>
      <xdr:nvPicPr>
        <xdr:cNvPr id="19" name="ComboBox1"/>
        <xdr:cNvPicPr preferRelativeResize="1">
          <a:picLocks noChangeAspect="1"/>
        </xdr:cNvPicPr>
      </xdr:nvPicPr>
      <xdr:blipFill>
        <a:blip r:embed="rId13"/>
        <a:stretch>
          <a:fillRect/>
        </a:stretch>
      </xdr:blipFill>
      <xdr:spPr>
        <a:xfrm>
          <a:off x="6191250" y="2733675"/>
          <a:ext cx="504825" cy="219075"/>
        </a:xfrm>
        <a:prstGeom prst="rect">
          <a:avLst/>
        </a:prstGeom>
        <a:noFill/>
        <a:ln w="9525" cmpd="sng">
          <a:noFill/>
        </a:ln>
      </xdr:spPr>
    </xdr:pic>
    <xdr:clientData fLocksWithSheet="0"/>
  </xdr:twoCellAnchor>
  <xdr:twoCellAnchor editAs="oneCell">
    <xdr:from>
      <xdr:col>3</xdr:col>
      <xdr:colOff>781050</xdr:colOff>
      <xdr:row>7</xdr:row>
      <xdr:rowOff>66675</xdr:rowOff>
    </xdr:from>
    <xdr:to>
      <xdr:col>3</xdr:col>
      <xdr:colOff>2733675</xdr:colOff>
      <xdr:row>7</xdr:row>
      <xdr:rowOff>295275</xdr:rowOff>
    </xdr:to>
    <xdr:pic>
      <xdr:nvPicPr>
        <xdr:cNvPr id="20" name="ComboBox5"/>
        <xdr:cNvPicPr preferRelativeResize="1">
          <a:picLocks noChangeAspect="1"/>
        </xdr:cNvPicPr>
      </xdr:nvPicPr>
      <xdr:blipFill>
        <a:blip r:embed="rId14"/>
        <a:stretch>
          <a:fillRect/>
        </a:stretch>
      </xdr:blipFill>
      <xdr:spPr>
        <a:xfrm>
          <a:off x="3352800" y="2152650"/>
          <a:ext cx="1952625" cy="228600"/>
        </a:xfrm>
        <a:prstGeom prst="rect">
          <a:avLst/>
        </a:prstGeom>
        <a:noFill/>
        <a:ln w="9525" cmpd="sng">
          <a:noFill/>
        </a:ln>
      </xdr:spPr>
    </xdr:pic>
    <xdr:clientData fLocksWithSheet="0"/>
  </xdr:twoCellAnchor>
  <xdr:twoCellAnchor editAs="oneCell">
    <xdr:from>
      <xdr:col>4</xdr:col>
      <xdr:colOff>495300</xdr:colOff>
      <xdr:row>8</xdr:row>
      <xdr:rowOff>85725</xdr:rowOff>
    </xdr:from>
    <xdr:to>
      <xdr:col>4</xdr:col>
      <xdr:colOff>1000125</xdr:colOff>
      <xdr:row>8</xdr:row>
      <xdr:rowOff>304800</xdr:rowOff>
    </xdr:to>
    <xdr:pic>
      <xdr:nvPicPr>
        <xdr:cNvPr id="21" name="ComboBox2"/>
        <xdr:cNvPicPr preferRelativeResize="1">
          <a:picLocks noChangeAspect="1"/>
        </xdr:cNvPicPr>
      </xdr:nvPicPr>
      <xdr:blipFill>
        <a:blip r:embed="rId15"/>
        <a:stretch>
          <a:fillRect/>
        </a:stretch>
      </xdr:blipFill>
      <xdr:spPr>
        <a:xfrm>
          <a:off x="6181725" y="2486025"/>
          <a:ext cx="504825" cy="219075"/>
        </a:xfrm>
        <a:prstGeom prst="rect">
          <a:avLst/>
        </a:prstGeom>
        <a:noFill/>
        <a:ln w="9525" cmpd="sng">
          <a:noFill/>
        </a:ln>
      </xdr:spPr>
    </xdr:pic>
    <xdr:clientData fLocksWithSheet="0"/>
  </xdr:twoCellAnchor>
  <xdr:twoCellAnchor editAs="oneCell">
    <xdr:from>
      <xdr:col>9</xdr:col>
      <xdr:colOff>485775</xdr:colOff>
      <xdr:row>58</xdr:row>
      <xdr:rowOff>19050</xdr:rowOff>
    </xdr:from>
    <xdr:to>
      <xdr:col>11</xdr:col>
      <xdr:colOff>542925</xdr:colOff>
      <xdr:row>61</xdr:row>
      <xdr:rowOff>57150</xdr:rowOff>
    </xdr:to>
    <xdr:pic>
      <xdr:nvPicPr>
        <xdr:cNvPr id="22" name="CommandButton1"/>
        <xdr:cNvPicPr preferRelativeResize="1">
          <a:picLocks noChangeAspect="1"/>
        </xdr:cNvPicPr>
      </xdr:nvPicPr>
      <xdr:blipFill>
        <a:blip r:embed="rId16"/>
        <a:stretch>
          <a:fillRect/>
        </a:stretch>
      </xdr:blipFill>
      <xdr:spPr>
        <a:xfrm>
          <a:off x="9753600" y="6210300"/>
          <a:ext cx="1495425" cy="523875"/>
        </a:xfrm>
        <a:prstGeom prst="rect">
          <a:avLst/>
        </a:prstGeom>
        <a:noFill/>
        <a:ln w="9525" cmpd="sng">
          <a:noFill/>
        </a:ln>
      </xdr:spPr>
    </xdr:pic>
    <xdr:clientData fPrintsWithSheet="0"/>
  </xdr:twoCellAnchor>
  <xdr:twoCellAnchor editAs="oneCell">
    <xdr:from>
      <xdr:col>9</xdr:col>
      <xdr:colOff>76200</xdr:colOff>
      <xdr:row>9</xdr:row>
      <xdr:rowOff>238125</xdr:rowOff>
    </xdr:from>
    <xdr:to>
      <xdr:col>9</xdr:col>
      <xdr:colOff>866775</xdr:colOff>
      <xdr:row>9</xdr:row>
      <xdr:rowOff>590550</xdr:rowOff>
    </xdr:to>
    <xdr:pic>
      <xdr:nvPicPr>
        <xdr:cNvPr id="23" name="CommandButton2"/>
        <xdr:cNvPicPr preferRelativeResize="1">
          <a:picLocks noChangeAspect="1"/>
        </xdr:cNvPicPr>
      </xdr:nvPicPr>
      <xdr:blipFill>
        <a:blip r:embed="rId17"/>
        <a:stretch>
          <a:fillRect/>
        </a:stretch>
      </xdr:blipFill>
      <xdr:spPr>
        <a:xfrm>
          <a:off x="9344025" y="2952750"/>
          <a:ext cx="790575" cy="352425"/>
        </a:xfrm>
        <a:prstGeom prst="rect">
          <a:avLst/>
        </a:prstGeom>
        <a:noFill/>
        <a:ln w="9525" cmpd="sng">
          <a:noFill/>
        </a:ln>
      </xdr:spPr>
    </xdr:pic>
    <xdr:clientData/>
  </xdr:twoCellAnchor>
  <xdr:twoCellAnchor editAs="oneCell">
    <xdr:from>
      <xdr:col>9</xdr:col>
      <xdr:colOff>152400</xdr:colOff>
      <xdr:row>21</xdr:row>
      <xdr:rowOff>0</xdr:rowOff>
    </xdr:from>
    <xdr:to>
      <xdr:col>9</xdr:col>
      <xdr:colOff>923925</xdr:colOff>
      <xdr:row>47</xdr:row>
      <xdr:rowOff>47625</xdr:rowOff>
    </xdr:to>
    <xdr:pic>
      <xdr:nvPicPr>
        <xdr:cNvPr id="24" name="CommandButton3" hidden="1"/>
        <xdr:cNvPicPr preferRelativeResize="1">
          <a:picLocks noChangeAspect="1"/>
        </xdr:cNvPicPr>
      </xdr:nvPicPr>
      <xdr:blipFill>
        <a:blip r:embed="rId18"/>
        <a:stretch>
          <a:fillRect/>
        </a:stretch>
      </xdr:blipFill>
      <xdr:spPr>
        <a:xfrm>
          <a:off x="9420225" y="3762375"/>
          <a:ext cx="771525" cy="352425"/>
        </a:xfrm>
        <a:prstGeom prst="rect">
          <a:avLst/>
        </a:prstGeom>
        <a:noFill/>
        <a:ln w="9525" cmpd="sng">
          <a:noFill/>
        </a:ln>
      </xdr:spPr>
    </xdr:pic>
    <xdr:clientData/>
  </xdr:twoCellAnchor>
  <xdr:twoCellAnchor editAs="oneCell">
    <xdr:from>
      <xdr:col>9</xdr:col>
      <xdr:colOff>133350</xdr:colOff>
      <xdr:row>47</xdr:row>
      <xdr:rowOff>0</xdr:rowOff>
    </xdr:from>
    <xdr:to>
      <xdr:col>9</xdr:col>
      <xdr:colOff>1066800</xdr:colOff>
      <xdr:row>49</xdr:row>
      <xdr:rowOff>114300</xdr:rowOff>
    </xdr:to>
    <xdr:pic>
      <xdr:nvPicPr>
        <xdr:cNvPr id="25" name="CommandButton4" hidden="1"/>
        <xdr:cNvPicPr preferRelativeResize="1">
          <a:picLocks noChangeAspect="1"/>
        </xdr:cNvPicPr>
      </xdr:nvPicPr>
      <xdr:blipFill>
        <a:blip r:embed="rId19"/>
        <a:stretch>
          <a:fillRect/>
        </a:stretch>
      </xdr:blipFill>
      <xdr:spPr>
        <a:xfrm>
          <a:off x="9401175" y="4067175"/>
          <a:ext cx="933450" cy="466725"/>
        </a:xfrm>
        <a:prstGeom prst="rect">
          <a:avLst/>
        </a:prstGeom>
        <a:noFill/>
        <a:ln w="9525" cmpd="sng">
          <a:noFill/>
        </a:ln>
      </xdr:spPr>
    </xdr:pic>
    <xdr:clientData/>
  </xdr:twoCellAnchor>
  <xdr:oneCellAnchor>
    <xdr:from>
      <xdr:col>9</xdr:col>
      <xdr:colOff>504825</xdr:colOff>
      <xdr:row>2</xdr:row>
      <xdr:rowOff>123825</xdr:rowOff>
    </xdr:from>
    <xdr:ext cx="1266825" cy="742950"/>
    <xdr:grpSp>
      <xdr:nvGrpSpPr>
        <xdr:cNvPr id="26" name="Group 2">
          <a:hlinkClick r:id="rId20"/>
        </xdr:cNvPr>
        <xdr:cNvGrpSpPr>
          <a:grpSpLocks/>
        </xdr:cNvGrpSpPr>
      </xdr:nvGrpSpPr>
      <xdr:grpSpPr>
        <a:xfrm>
          <a:off x="9772650" y="600075"/>
          <a:ext cx="1266825" cy="742950"/>
          <a:chOff x="6777115" y="1419152"/>
          <a:chExt cx="1172350" cy="512296"/>
        </a:xfrm>
        <a:solidFill>
          <a:srgbClr val="FFFFFF"/>
        </a:solidFill>
      </xdr:grpSpPr>
      <xdr:sp>
        <xdr:nvSpPr>
          <xdr:cNvPr id="27" name="Rectangle 31"/>
          <xdr:cNvSpPr>
            <a:spLocks/>
          </xdr:cNvSpPr>
        </xdr:nvSpPr>
        <xdr:spPr>
          <a:xfrm>
            <a:off x="6874127" y="1419152"/>
            <a:ext cx="1075338" cy="492573"/>
          </a:xfrm>
          <a:prstGeom prst="rect">
            <a:avLst/>
          </a:prstGeom>
          <a:solidFill>
            <a:srgbClr val="DC6900"/>
          </a:solidFill>
          <a:ln w="25400" cmpd="sng">
            <a:noFill/>
          </a:ln>
        </xdr:spPr>
        <xdr:txBody>
          <a:bodyPr vertOverflow="clip" wrap="square"/>
          <a:p>
            <a:pPr algn="l">
              <a:defRPr/>
            </a:pPr>
            <a:r>
              <a:rPr lang="en-US" cap="none" sz="1200" b="1" i="1" u="none" baseline="0">
                <a:solidFill>
                  <a:srgbClr val="FFFFFF"/>
                </a:solidFill>
              </a:rPr>
              <a:t>Ajuda na execução das macros</a:t>
            </a:r>
          </a:p>
        </xdr:txBody>
      </xdr:sp>
      <xdr:sp>
        <xdr:nvSpPr>
          <xdr:cNvPr id="28" name="Rectangle 32"/>
          <xdr:cNvSpPr>
            <a:spLocks/>
          </xdr:cNvSpPr>
        </xdr:nvSpPr>
        <xdr:spPr>
          <a:xfrm>
            <a:off x="6777115" y="1911725"/>
            <a:ext cx="105805" cy="19723"/>
          </a:xfrm>
          <a:prstGeom prst="rect">
            <a:avLst/>
          </a:prstGeom>
          <a:solidFill>
            <a:srgbClr val="DC6900"/>
          </a:solid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6943725</xdr:colOff>
      <xdr:row>5</xdr:row>
      <xdr:rowOff>561975</xdr:rowOff>
    </xdr:from>
    <xdr:to>
      <xdr:col>2</xdr:col>
      <xdr:colOff>7858125</xdr:colOff>
      <xdr:row>6</xdr:row>
      <xdr:rowOff>0</xdr:rowOff>
    </xdr:to>
    <xdr:sp>
      <xdr:nvSpPr>
        <xdr:cNvPr id="1" name="Rectangle 7">
          <a:hlinkClick r:id="rId1"/>
        </xdr:cNvPr>
        <xdr:cNvSpPr>
          <a:spLocks/>
        </xdr:cNvSpPr>
      </xdr:nvSpPr>
      <xdr:spPr>
        <a:xfrm>
          <a:off x="8162925" y="1123950"/>
          <a:ext cx="914400" cy="304800"/>
        </a:xfrm>
        <a:prstGeom prst="rect">
          <a:avLst/>
        </a:prstGeom>
        <a:solidFill>
          <a:srgbClr val="DC6900"/>
        </a:solidFill>
        <a:ln w="3175" cmpd="sng">
          <a:solidFill>
            <a:srgbClr val="A14B00"/>
          </a:solidFill>
          <a:headEnd type="none"/>
          <a:tailEnd type="none"/>
        </a:ln>
      </xdr:spPr>
      <xdr:txBody>
        <a:bodyPr vertOverflow="clip" wrap="square" anchor="ctr"/>
        <a:p>
          <a:pPr algn="ctr">
            <a:defRPr/>
          </a:pPr>
          <a:r>
            <a:rPr lang="en-US" cap="none" sz="1400" b="1" i="0" u="none" baseline="0">
              <a:solidFill>
                <a:srgbClr val="FFFFFF"/>
              </a:solidFill>
            </a:rPr>
            <a:t>Voltar</a:t>
          </a:r>
        </a:p>
      </xdr:txBody>
    </xdr:sp>
    <xdr:clientData/>
  </xdr:twoCellAnchor>
  <xdr:twoCellAnchor editAs="oneCell">
    <xdr:from>
      <xdr:col>0</xdr:col>
      <xdr:colOff>247650</xdr:colOff>
      <xdr:row>5</xdr:row>
      <xdr:rowOff>104775</xdr:rowOff>
    </xdr:from>
    <xdr:to>
      <xdr:col>2</xdr:col>
      <xdr:colOff>9525</xdr:colOff>
      <xdr:row>5</xdr:row>
      <xdr:rowOff>866775</xdr:rowOff>
    </xdr:to>
    <xdr:pic>
      <xdr:nvPicPr>
        <xdr:cNvPr id="2" name="Image1"/>
        <xdr:cNvPicPr preferRelativeResize="1">
          <a:picLocks noChangeAspect="1"/>
        </xdr:cNvPicPr>
      </xdr:nvPicPr>
      <xdr:blipFill>
        <a:blip r:embed="rId2"/>
        <a:stretch>
          <a:fillRect/>
        </a:stretch>
      </xdr:blipFill>
      <xdr:spPr>
        <a:xfrm>
          <a:off x="247650" y="666750"/>
          <a:ext cx="981075" cy="762000"/>
        </a:xfrm>
        <a:prstGeom prst="rect">
          <a:avLst/>
        </a:prstGeom>
        <a:noFill/>
        <a:ln w="9525" cmpd="sng">
          <a:noFill/>
        </a:ln>
      </xdr:spPr>
    </xdr:pic>
    <xdr:clientData fLocksWithSheet="0"/>
  </xdr:twoCellAnchor>
  <xdr:oneCellAnchor>
    <xdr:from>
      <xdr:col>2</xdr:col>
      <xdr:colOff>6496050</xdr:colOff>
      <xdr:row>35</xdr:row>
      <xdr:rowOff>0</xdr:rowOff>
    </xdr:from>
    <xdr:ext cx="1266825" cy="742950"/>
    <xdr:grpSp>
      <xdr:nvGrpSpPr>
        <xdr:cNvPr id="3" name="Group 2">
          <a:hlinkClick r:id="rId3"/>
        </xdr:cNvPr>
        <xdr:cNvGrpSpPr>
          <a:grpSpLocks/>
        </xdr:cNvGrpSpPr>
      </xdr:nvGrpSpPr>
      <xdr:grpSpPr>
        <a:xfrm>
          <a:off x="7715250" y="9610725"/>
          <a:ext cx="1266825" cy="742950"/>
          <a:chOff x="6777115" y="1419152"/>
          <a:chExt cx="1172350" cy="512296"/>
        </a:xfrm>
        <a:solidFill>
          <a:srgbClr val="FFFFFF"/>
        </a:solidFill>
      </xdr:grpSpPr>
      <xdr:sp>
        <xdr:nvSpPr>
          <xdr:cNvPr id="4" name="Rectangle 8"/>
          <xdr:cNvSpPr>
            <a:spLocks/>
          </xdr:cNvSpPr>
        </xdr:nvSpPr>
        <xdr:spPr>
          <a:xfrm>
            <a:off x="6874127" y="1419152"/>
            <a:ext cx="1075338" cy="492573"/>
          </a:xfrm>
          <a:prstGeom prst="rect">
            <a:avLst/>
          </a:prstGeom>
          <a:solidFill>
            <a:srgbClr val="DC6900"/>
          </a:solidFill>
          <a:ln w="25400" cmpd="sng">
            <a:noFill/>
          </a:ln>
        </xdr:spPr>
        <xdr:txBody>
          <a:bodyPr vertOverflow="clip" wrap="square"/>
          <a:p>
            <a:pPr algn="l">
              <a:defRPr/>
            </a:pPr>
            <a:r>
              <a:rPr lang="en-US" cap="none" sz="1400" b="1" i="0" u="none" baseline="0">
                <a:solidFill>
                  <a:srgbClr val="FFFFFF"/>
                </a:solidFill>
              </a:rPr>
              <a:t>Simular IRS 2014</a:t>
            </a:r>
          </a:p>
        </xdr:txBody>
      </xdr:sp>
      <xdr:sp>
        <xdr:nvSpPr>
          <xdr:cNvPr id="5" name="Rectangle 9"/>
          <xdr:cNvSpPr>
            <a:spLocks/>
          </xdr:cNvSpPr>
        </xdr:nvSpPr>
        <xdr:spPr>
          <a:xfrm>
            <a:off x="6777115" y="1911725"/>
            <a:ext cx="105805" cy="19723"/>
          </a:xfrm>
          <a:prstGeom prst="rect">
            <a:avLst/>
          </a:prstGeom>
          <a:solidFill>
            <a:srgbClr val="DC6900"/>
          </a:solid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16</xdr:row>
      <xdr:rowOff>342900</xdr:rowOff>
    </xdr:from>
    <xdr:to>
      <xdr:col>7</xdr:col>
      <xdr:colOff>0</xdr:colOff>
      <xdr:row>17</xdr:row>
      <xdr:rowOff>0</xdr:rowOff>
    </xdr:to>
    <xdr:sp>
      <xdr:nvSpPr>
        <xdr:cNvPr id="1" name="TextBox 3">
          <a:hlinkClick r:id="rId1"/>
        </xdr:cNvPr>
        <xdr:cNvSpPr txBox="1">
          <a:spLocks noChangeArrowheads="1"/>
        </xdr:cNvSpPr>
      </xdr:nvSpPr>
      <xdr:spPr>
        <a:xfrm>
          <a:off x="8658225" y="5076825"/>
          <a:ext cx="0" cy="0"/>
        </a:xfrm>
        <a:prstGeom prst="rect">
          <a:avLst/>
        </a:prstGeom>
        <a:noFill/>
        <a:ln w="9525" cmpd="sng">
          <a:noFill/>
        </a:ln>
      </xdr:spPr>
      <xdr:txBody>
        <a:bodyPr vertOverflow="clip" wrap="square"/>
        <a:p>
          <a:pPr algn="l">
            <a:defRPr/>
          </a:pPr>
          <a:r>
            <a:rPr lang="en-US" cap="none" sz="1500" b="0" i="0" u="none" baseline="0">
              <a:solidFill>
                <a:srgbClr val="000000"/>
              </a:solidFill>
              <a:latin typeface="Arial"/>
              <a:ea typeface="Arial"/>
              <a:cs typeface="Arial"/>
            </a:rPr>
            <a:t></a:t>
          </a:r>
        </a:p>
      </xdr:txBody>
    </xdr:sp>
    <xdr:clientData/>
  </xdr:twoCellAnchor>
  <xdr:twoCellAnchor>
    <xdr:from>
      <xdr:col>7</xdr:col>
      <xdr:colOff>0</xdr:colOff>
      <xdr:row>33</xdr:row>
      <xdr:rowOff>180975</xdr:rowOff>
    </xdr:from>
    <xdr:to>
      <xdr:col>7</xdr:col>
      <xdr:colOff>0</xdr:colOff>
      <xdr:row>34</xdr:row>
      <xdr:rowOff>0</xdr:rowOff>
    </xdr:to>
    <xdr:sp>
      <xdr:nvSpPr>
        <xdr:cNvPr id="2" name="TextBox 4"/>
        <xdr:cNvSpPr txBox="1">
          <a:spLocks noChangeArrowheads="1"/>
        </xdr:cNvSpPr>
      </xdr:nvSpPr>
      <xdr:spPr>
        <a:xfrm>
          <a:off x="8658225" y="9744075"/>
          <a:ext cx="0" cy="0"/>
        </a:xfrm>
        <a:prstGeom prst="rect">
          <a:avLst/>
        </a:prstGeom>
        <a:noFill/>
        <a:ln w="9525" cmpd="sng">
          <a:noFill/>
        </a:ln>
      </xdr:spPr>
      <xdr:txBody>
        <a:bodyPr vertOverflow="clip" wrap="square"/>
        <a:p>
          <a:pPr algn="l">
            <a:defRPr/>
          </a:pPr>
          <a:r>
            <a:rPr lang="en-US" cap="none" sz="1500" b="0" i="0" u="none" baseline="0">
              <a:solidFill>
                <a:srgbClr val="000000"/>
              </a:solidFill>
              <a:latin typeface="Arial"/>
              <a:ea typeface="Arial"/>
              <a:cs typeface="Arial"/>
            </a:rPr>
            <a:t></a:t>
          </a:r>
        </a:p>
      </xdr:txBody>
    </xdr:sp>
    <xdr:clientData/>
  </xdr:twoCellAnchor>
  <xdr:twoCellAnchor editAs="absolute">
    <xdr:from>
      <xdr:col>5</xdr:col>
      <xdr:colOff>990600</xdr:colOff>
      <xdr:row>70</xdr:row>
      <xdr:rowOff>104775</xdr:rowOff>
    </xdr:from>
    <xdr:to>
      <xdr:col>6</xdr:col>
      <xdr:colOff>914400</xdr:colOff>
      <xdr:row>76</xdr:row>
      <xdr:rowOff>9525</xdr:rowOff>
    </xdr:to>
    <xdr:grpSp>
      <xdr:nvGrpSpPr>
        <xdr:cNvPr id="3" name="Group 61">
          <a:hlinkClick r:id="rId2"/>
        </xdr:cNvPr>
        <xdr:cNvGrpSpPr>
          <a:grpSpLocks/>
        </xdr:cNvGrpSpPr>
      </xdr:nvGrpSpPr>
      <xdr:grpSpPr>
        <a:xfrm>
          <a:off x="4686300" y="19107150"/>
          <a:ext cx="1714500" cy="876300"/>
          <a:chOff x="6800798" y="1518146"/>
          <a:chExt cx="959271" cy="411262"/>
        </a:xfrm>
        <a:solidFill>
          <a:srgbClr val="FFFFFF"/>
        </a:solidFill>
      </xdr:grpSpPr>
      <xdr:sp>
        <xdr:nvSpPr>
          <xdr:cNvPr id="4" name="Rectangle 36"/>
          <xdr:cNvSpPr>
            <a:spLocks/>
          </xdr:cNvSpPr>
        </xdr:nvSpPr>
        <xdr:spPr>
          <a:xfrm>
            <a:off x="6875381" y="1518146"/>
            <a:ext cx="884688" cy="395326"/>
          </a:xfrm>
          <a:prstGeom prst="rect">
            <a:avLst/>
          </a:prstGeom>
          <a:noFill/>
          <a:ln w="25400" cmpd="sng">
            <a:noFill/>
          </a:ln>
        </xdr:spPr>
        <xdr:txBody>
          <a:bodyPr vertOverflow="clip" wrap="square" anchor="ctr"/>
          <a:p>
            <a:pPr algn="l">
              <a:defRPr/>
            </a:pPr>
            <a:r>
              <a:rPr lang="en-US" cap="none" sz="1500" b="1" i="0" u="none" baseline="0">
                <a:solidFill>
                  <a:srgbClr val="FFFFFF"/>
                </a:solidFill>
              </a:rPr>
              <a:t>Voltar à</a:t>
            </a:r>
            <a:r>
              <a:rPr lang="en-US" cap="none" sz="1500" b="1" i="0" u="none" baseline="0">
                <a:solidFill>
                  <a:srgbClr val="FFFFFF"/>
                </a:solidFill>
              </a:rPr>
              <a:t> simulação</a:t>
            </a:r>
          </a:p>
        </xdr:txBody>
      </xdr:sp>
      <xdr:sp>
        <xdr:nvSpPr>
          <xdr:cNvPr id="5" name="Rectangle 37"/>
          <xdr:cNvSpPr>
            <a:spLocks/>
          </xdr:cNvSpPr>
        </xdr:nvSpPr>
        <xdr:spPr>
          <a:xfrm>
            <a:off x="6800798" y="1909462"/>
            <a:ext cx="79859" cy="1994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editAs="absolute">
    <xdr:from>
      <xdr:col>6</xdr:col>
      <xdr:colOff>161925</xdr:colOff>
      <xdr:row>74</xdr:row>
      <xdr:rowOff>114300</xdr:rowOff>
    </xdr:from>
    <xdr:to>
      <xdr:col>6</xdr:col>
      <xdr:colOff>1695450</xdr:colOff>
      <xdr:row>77</xdr:row>
      <xdr:rowOff>123825</xdr:rowOff>
    </xdr:to>
    <xdr:grpSp>
      <xdr:nvGrpSpPr>
        <xdr:cNvPr id="6" name="Group 64"/>
        <xdr:cNvGrpSpPr>
          <a:grpSpLocks/>
        </xdr:cNvGrpSpPr>
      </xdr:nvGrpSpPr>
      <xdr:grpSpPr>
        <a:xfrm>
          <a:off x="5648325" y="19764375"/>
          <a:ext cx="1533525" cy="495300"/>
          <a:chOff x="6777115" y="1609922"/>
          <a:chExt cx="1157966" cy="319486"/>
        </a:xfrm>
        <a:solidFill>
          <a:srgbClr val="FFFFFF"/>
        </a:solidFill>
      </xdr:grpSpPr>
      <xdr:sp>
        <xdr:nvSpPr>
          <xdr:cNvPr id="7" name="Rectangle 39">
            <a:hlinkClick r:id="rId3"/>
          </xdr:cNvPr>
          <xdr:cNvSpPr>
            <a:spLocks/>
          </xdr:cNvSpPr>
        </xdr:nvSpPr>
        <xdr:spPr>
          <a:xfrm>
            <a:off x="6877858" y="1609922"/>
            <a:ext cx="1057223" cy="302953"/>
          </a:xfrm>
          <a:prstGeom prst="rect">
            <a:avLst/>
          </a:prstGeom>
          <a:noFill/>
          <a:ln w="25400" cmpd="sng">
            <a:solidFill>
              <a:srgbClr val="FFFFFF"/>
            </a:solidFill>
            <a:headEnd type="none"/>
            <a:tailEnd type="none"/>
          </a:ln>
        </xdr:spPr>
        <xdr:txBody>
          <a:bodyPr vertOverflow="clip" wrap="square" anchor="ctr"/>
          <a:p>
            <a:pPr algn="l">
              <a:defRPr/>
            </a:pPr>
            <a:r>
              <a:rPr lang="en-US" cap="none" sz="1000" b="1" i="0" u="none" baseline="0">
                <a:solidFill>
                  <a:srgbClr val="FFFFFF"/>
                </a:solidFill>
              </a:rPr>
              <a:t>www.pwc.com/pt</a:t>
            </a:r>
          </a:p>
        </xdr:txBody>
      </xdr:sp>
      <xdr:sp>
        <xdr:nvSpPr>
          <xdr:cNvPr id="8" name="Rectangle 40"/>
          <xdr:cNvSpPr>
            <a:spLocks/>
          </xdr:cNvSpPr>
        </xdr:nvSpPr>
        <xdr:spPr>
          <a:xfrm>
            <a:off x="6777115" y="1907363"/>
            <a:ext cx="107980" cy="22045"/>
          </a:xfrm>
          <a:prstGeom prst="rect">
            <a:avLst/>
          </a:prstGeom>
          <a:noFill/>
          <a:ln w="25400" cmpd="sng">
            <a:solidFill>
              <a:srgbClr val="FFFFFF"/>
            </a:solidFill>
            <a:headEnd type="none"/>
            <a:tailEnd type="none"/>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6</xdr:col>
      <xdr:colOff>2209800</xdr:colOff>
      <xdr:row>3</xdr:row>
      <xdr:rowOff>381000</xdr:rowOff>
    </xdr:from>
    <xdr:to>
      <xdr:col>6</xdr:col>
      <xdr:colOff>3124200</xdr:colOff>
      <xdr:row>3</xdr:row>
      <xdr:rowOff>685800</xdr:rowOff>
    </xdr:to>
    <xdr:sp>
      <xdr:nvSpPr>
        <xdr:cNvPr id="9" name="Rectangle 13">
          <a:hlinkClick r:id="rId4"/>
        </xdr:cNvPr>
        <xdr:cNvSpPr>
          <a:spLocks/>
        </xdr:cNvSpPr>
      </xdr:nvSpPr>
      <xdr:spPr>
        <a:xfrm>
          <a:off x="7696200" y="847725"/>
          <a:ext cx="914400" cy="304800"/>
        </a:xfrm>
        <a:prstGeom prst="rect">
          <a:avLst/>
        </a:prstGeom>
        <a:solidFill>
          <a:srgbClr val="DC6900"/>
        </a:solidFill>
        <a:ln w="3175" cmpd="sng">
          <a:solidFill>
            <a:srgbClr val="A14B00"/>
          </a:solidFill>
          <a:headEnd type="none"/>
          <a:tailEnd type="none"/>
        </a:ln>
      </xdr:spPr>
      <xdr:txBody>
        <a:bodyPr vertOverflow="clip" wrap="square" anchor="ctr"/>
        <a:p>
          <a:pPr algn="ctr">
            <a:defRPr/>
          </a:pPr>
          <a:r>
            <a:rPr lang="en-US" cap="none" sz="1400" b="1" i="0" u="none" baseline="0">
              <a:solidFill>
                <a:srgbClr val="FFFFFF"/>
              </a:solidFill>
            </a:rPr>
            <a:t>Voltar</a:t>
          </a:r>
        </a:p>
      </xdr:txBody>
    </xdr:sp>
    <xdr:clientData/>
  </xdr:twoCellAnchor>
  <xdr:twoCellAnchor editAs="oneCell">
    <xdr:from>
      <xdr:col>0</xdr:col>
      <xdr:colOff>504825</xdr:colOff>
      <xdr:row>3</xdr:row>
      <xdr:rowOff>38100</xdr:rowOff>
    </xdr:from>
    <xdr:to>
      <xdr:col>2</xdr:col>
      <xdr:colOff>142875</xdr:colOff>
      <xdr:row>3</xdr:row>
      <xdr:rowOff>781050</xdr:rowOff>
    </xdr:to>
    <xdr:pic>
      <xdr:nvPicPr>
        <xdr:cNvPr id="10" name="Image1"/>
        <xdr:cNvPicPr preferRelativeResize="1">
          <a:picLocks noChangeAspect="1"/>
        </xdr:cNvPicPr>
      </xdr:nvPicPr>
      <xdr:blipFill>
        <a:blip r:embed="rId5"/>
        <a:stretch>
          <a:fillRect/>
        </a:stretch>
      </xdr:blipFill>
      <xdr:spPr>
        <a:xfrm>
          <a:off x="504825" y="504825"/>
          <a:ext cx="933450" cy="7429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PwC Orange">
      <a:dk1>
        <a:srgbClr val="000000"/>
      </a:dk1>
      <a:lt1>
        <a:sysClr val="window" lastClr="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1"/>
  <dimension ref="C1:N66"/>
  <sheetViews>
    <sheetView showGridLines="0" showRowColHeaders="0" tabSelected="1" zoomScale="90" zoomScaleNormal="90" zoomScaleSheetLayoutView="75" zoomScalePageLayoutView="0" workbookViewId="0" topLeftCell="A1">
      <pane ySplit="7" topLeftCell="A8" activePane="bottomLeft" state="frozen"/>
      <selection pane="topLeft" activeCell="D25" sqref="D25"/>
      <selection pane="bottomLeft" activeCell="E86" sqref="E86"/>
    </sheetView>
  </sheetViews>
  <sheetFormatPr defaultColWidth="9.140625" defaultRowHeight="12.75"/>
  <cols>
    <col min="1" max="1" width="12.28125" style="49" customWidth="1"/>
    <col min="2" max="2" width="7.57421875" style="49" customWidth="1"/>
    <col min="3" max="3" width="114.28125" style="49" customWidth="1"/>
    <col min="4" max="4" width="10.8515625" style="49" customWidth="1"/>
    <col min="5" max="5" width="16.00390625" style="50" customWidth="1"/>
    <col min="6" max="6" width="3.28125" style="50" customWidth="1"/>
    <col min="7" max="7" width="16.00390625" style="50" customWidth="1"/>
    <col min="8" max="8" width="4.140625" style="50" customWidth="1"/>
    <col min="9" max="9" width="14.140625" style="50" customWidth="1"/>
    <col min="10" max="10" width="1.1484375" style="50" customWidth="1"/>
    <col min="11" max="11" width="3.140625" style="51" customWidth="1"/>
    <col min="12" max="12" width="2.57421875" style="50" customWidth="1"/>
    <col min="13" max="13" width="7.8515625" style="50" customWidth="1"/>
    <col min="14" max="16384" width="9.140625" style="49" customWidth="1"/>
  </cols>
  <sheetData>
    <row r="1" ht="4.5" customHeight="1">
      <c r="N1" s="50"/>
    </row>
    <row r="2" spans="3:14" ht="12.75" customHeight="1">
      <c r="C2" s="52"/>
      <c r="D2" s="52"/>
      <c r="E2" s="52"/>
      <c r="N2" s="50"/>
    </row>
    <row r="3" spans="3:14" ht="7.5" customHeight="1">
      <c r="C3" s="98"/>
      <c r="D3" s="99"/>
      <c r="E3" s="99"/>
      <c r="F3" s="1"/>
      <c r="G3" s="1"/>
      <c r="H3" s="1"/>
      <c r="I3" s="1"/>
      <c r="J3" s="1"/>
      <c r="K3" s="53"/>
      <c r="L3" s="1"/>
      <c r="M3" s="1"/>
      <c r="N3" s="50"/>
    </row>
    <row r="4" spans="3:14" ht="20.25">
      <c r="C4" s="100" t="s">
        <v>44</v>
      </c>
      <c r="D4" s="1"/>
      <c r="E4" s="1"/>
      <c r="F4" s="1"/>
      <c r="G4" s="1"/>
      <c r="H4" s="1"/>
      <c r="I4" s="1"/>
      <c r="J4" s="1"/>
      <c r="K4" s="53"/>
      <c r="L4" s="1"/>
      <c r="M4" s="1"/>
      <c r="N4" s="3"/>
    </row>
    <row r="5" spans="3:14" ht="20.25">
      <c r="C5" s="101"/>
      <c r="D5" s="1"/>
      <c r="E5" s="1"/>
      <c r="F5" s="1"/>
      <c r="G5" s="1"/>
      <c r="H5" s="1"/>
      <c r="I5" s="1"/>
      <c r="J5" s="1"/>
      <c r="K5" s="53"/>
      <c r="L5" s="1"/>
      <c r="M5" s="1"/>
      <c r="N5" s="3"/>
    </row>
    <row r="6" spans="3:14" ht="64.5" customHeight="1">
      <c r="C6" s="101"/>
      <c r="D6" s="1"/>
      <c r="E6" s="1"/>
      <c r="F6" s="1"/>
      <c r="G6" s="1"/>
      <c r="H6" s="1"/>
      <c r="I6" s="1"/>
      <c r="J6" s="1"/>
      <c r="K6" s="53"/>
      <c r="L6" s="1"/>
      <c r="M6" s="1"/>
      <c r="N6" s="3"/>
    </row>
    <row r="7" spans="3:14" ht="6.75" customHeight="1">
      <c r="C7" s="54"/>
      <c r="D7" s="2"/>
      <c r="E7" s="55"/>
      <c r="F7" s="55"/>
      <c r="G7" s="55"/>
      <c r="H7" s="55"/>
      <c r="I7" s="55"/>
      <c r="J7" s="55"/>
      <c r="K7" s="56"/>
      <c r="L7" s="55"/>
      <c r="M7" s="55"/>
      <c r="N7" s="57"/>
    </row>
    <row r="8" spans="3:14" ht="6.75" customHeight="1">
      <c r="C8" s="54"/>
      <c r="D8" s="2"/>
      <c r="E8" s="55"/>
      <c r="F8" s="55"/>
      <c r="G8" s="55"/>
      <c r="H8" s="55"/>
      <c r="I8" s="55"/>
      <c r="J8" s="55"/>
      <c r="K8" s="56"/>
      <c r="L8" s="55"/>
      <c r="M8" s="55"/>
      <c r="N8" s="57"/>
    </row>
    <row r="9" ht="6.75" customHeight="1">
      <c r="C9" s="58"/>
    </row>
    <row r="10" s="50" customFormat="1" ht="0.75" customHeight="1"/>
    <row r="11" s="50" customFormat="1" ht="14.25"/>
    <row r="12" s="50" customFormat="1" ht="14.25"/>
    <row r="13" s="50" customFormat="1" ht="14.25"/>
    <row r="14" s="50" customFormat="1" ht="4.5" customHeight="1"/>
    <row r="15" s="50" customFormat="1" ht="3.75" customHeight="1"/>
    <row r="16" s="50" customFormat="1" ht="14.25"/>
    <row r="17" s="50" customFormat="1" ht="14.25"/>
    <row r="18" s="50" customFormat="1" ht="14.25"/>
    <row r="19" s="50" customFormat="1" ht="14.25"/>
    <row r="20" s="50" customFormat="1" ht="14.25"/>
    <row r="21" s="50" customFormat="1" ht="14.25"/>
    <row r="22" s="50" customFormat="1" ht="14.25"/>
    <row r="23" s="50" customFormat="1" ht="14.25"/>
    <row r="24" s="50" customFormat="1" ht="14.25"/>
    <row r="25" s="50" customFormat="1" ht="14.25"/>
    <row r="26" s="50" customFormat="1" ht="14.25"/>
    <row r="27" s="50" customFormat="1" ht="14.25"/>
    <row r="28" s="50" customFormat="1" ht="14.25"/>
    <row r="29" s="50" customFormat="1" ht="14.25"/>
    <row r="30" s="50" customFormat="1" ht="14.25"/>
    <row r="31" s="50" customFormat="1" ht="14.25"/>
    <row r="32" s="50" customFormat="1" ht="14.25"/>
    <row r="33" s="50" customFormat="1" ht="14.25"/>
    <row r="34" s="50" customFormat="1" ht="14.25"/>
    <row r="35" s="50" customFormat="1" ht="14.25"/>
    <row r="36" s="50" customFormat="1" ht="14.25"/>
    <row r="37" s="50" customFormat="1" ht="14.25"/>
    <row r="38" s="50" customFormat="1" ht="14.25" customHeight="1"/>
    <row r="39" s="50" customFormat="1" ht="15" customHeight="1"/>
    <row r="40" s="50" customFormat="1" ht="14.25"/>
    <row r="41" s="50" customFormat="1" ht="16.5" customHeight="1"/>
    <row r="42" s="50" customFormat="1" ht="14.25"/>
    <row r="43" s="50" customFormat="1" ht="14.25"/>
    <row r="44" s="50" customFormat="1" ht="14.25"/>
    <row r="45" s="50" customFormat="1" ht="14.25"/>
    <row r="46" s="50" customFormat="1" ht="14.25"/>
    <row r="47" s="50" customFormat="1" ht="14.25"/>
    <row r="48" s="50" customFormat="1" ht="14.25"/>
    <row r="49" s="50" customFormat="1" ht="14.25"/>
    <row r="50" ht="14.25"/>
    <row r="51" ht="14.25"/>
    <row r="52" ht="14.25"/>
    <row r="53" ht="14.25"/>
    <row r="54" ht="14.25"/>
    <row r="55" ht="14.25"/>
    <row r="56" ht="14.25"/>
    <row r="57" ht="14.25"/>
    <row r="58" ht="14.25"/>
    <row r="59" ht="14.25"/>
    <row r="60" ht="14.25"/>
    <row r="61" ht="14.25"/>
    <row r="62" ht="14.25"/>
    <row r="63" ht="14.25"/>
    <row r="64" ht="14.25"/>
    <row r="65" ht="14.25"/>
    <row r="66" spans="3:14" ht="14.25">
      <c r="C66" s="59"/>
      <c r="D66" s="59"/>
      <c r="E66" s="60"/>
      <c r="F66" s="60"/>
      <c r="G66" s="60"/>
      <c r="H66" s="60"/>
      <c r="I66" s="60"/>
      <c r="J66" s="60"/>
      <c r="K66" s="61"/>
      <c r="L66" s="60"/>
      <c r="M66" s="60"/>
      <c r="N66" s="62"/>
    </row>
  </sheetData>
  <sheetProtection password="C7EC" sheet="1" objects="1" selectLockedCells="1" selectUnlockedCells="1"/>
  <printOptions/>
  <pageMargins left="0.7" right="0.7" top="0.75" bottom="0.75" header="0.3" footer="0.3"/>
  <pageSetup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N73"/>
  <sheetViews>
    <sheetView showGridLines="0" showRowColHeaders="0" zoomScaleSheetLayoutView="100" zoomScalePageLayoutView="0" workbookViewId="0" topLeftCell="A1">
      <pane ySplit="4" topLeftCell="A5" activePane="bottomLeft" state="frozen"/>
      <selection pane="topLeft" activeCell="B71" sqref="B71:J71"/>
      <selection pane="bottomLeft" activeCell="A1" sqref="A1"/>
    </sheetView>
  </sheetViews>
  <sheetFormatPr defaultColWidth="10.28125" defaultRowHeight="12.75"/>
  <cols>
    <col min="1" max="1" width="25.28125" style="368" customWidth="1"/>
    <col min="2" max="2" width="12.00390625" style="412" customWidth="1"/>
    <col min="3" max="3" width="1.28515625" style="412" customWidth="1"/>
    <col min="4" max="4" width="46.7109375" style="368" customWidth="1"/>
    <col min="5" max="5" width="19.421875" style="368" customWidth="1"/>
    <col min="6" max="6" width="17.00390625" style="368" customWidth="1"/>
    <col min="7" max="7" width="6.7109375" style="368" customWidth="1"/>
    <col min="8" max="8" width="10.57421875" style="368" customWidth="1"/>
    <col min="9" max="9" width="21.140625" style="368" hidden="1" customWidth="1"/>
    <col min="10" max="10" width="17.140625" style="368" customWidth="1"/>
    <col min="11" max="11" width="4.421875" style="368" customWidth="1"/>
    <col min="12" max="12" width="9.7109375" style="368" bestFit="1" customWidth="1"/>
    <col min="13" max="252" width="9.140625" style="368" customWidth="1"/>
    <col min="253" max="253" width="7.57421875" style="368" customWidth="1"/>
    <col min="254" max="254" width="2.8515625" style="368" customWidth="1"/>
    <col min="255" max="255" width="5.00390625" style="368" customWidth="1"/>
    <col min="256" max="16384" width="10.28125" style="368" customWidth="1"/>
  </cols>
  <sheetData>
    <row r="1" spans="2:13" s="367" customFormat="1" ht="25.5" customHeight="1">
      <c r="B1" s="368"/>
      <c r="C1" s="368"/>
      <c r="D1" s="369"/>
      <c r="E1" s="369"/>
      <c r="F1" s="369"/>
      <c r="G1" s="369"/>
      <c r="H1" s="369"/>
      <c r="I1" s="369"/>
      <c r="J1" s="369"/>
      <c r="K1" s="369"/>
      <c r="L1" s="369"/>
      <c r="M1" s="368"/>
    </row>
    <row r="2" spans="1:11" s="372" customFormat="1" ht="12" customHeight="1">
      <c r="A2" s="370"/>
      <c r="B2" s="449" t="s">
        <v>26</v>
      </c>
      <c r="C2" s="449"/>
      <c r="D2" s="449"/>
      <c r="E2" s="449"/>
      <c r="F2" s="449"/>
      <c r="G2" s="449"/>
      <c r="H2" s="449"/>
      <c r="I2" s="450"/>
      <c r="J2" s="371"/>
      <c r="K2" s="371"/>
    </row>
    <row r="3" spans="2:11" s="372" customFormat="1" ht="13.5" customHeight="1">
      <c r="B3" s="450"/>
      <c r="C3" s="450"/>
      <c r="D3" s="450"/>
      <c r="E3" s="450"/>
      <c r="F3" s="450"/>
      <c r="G3" s="450"/>
      <c r="H3" s="450"/>
      <c r="I3" s="450"/>
      <c r="J3" s="371"/>
      <c r="K3" s="371"/>
    </row>
    <row r="4" spans="2:13" s="367" customFormat="1" ht="68.25" customHeight="1">
      <c r="B4" s="373" t="s">
        <v>27</v>
      </c>
      <c r="C4" s="373"/>
      <c r="D4" s="369"/>
      <c r="E4" s="369"/>
      <c r="F4" s="374"/>
      <c r="G4" s="369"/>
      <c r="H4" s="369"/>
      <c r="I4" s="369"/>
      <c r="J4" s="369"/>
      <c r="K4" s="369"/>
      <c r="L4" s="369"/>
      <c r="M4" s="368"/>
    </row>
    <row r="5" spans="1:12" s="367" customFormat="1" ht="12.75">
      <c r="A5" s="5"/>
      <c r="B5" s="6"/>
      <c r="C5" s="6"/>
      <c r="D5" s="7"/>
      <c r="E5" s="7"/>
      <c r="F5" s="369"/>
      <c r="G5" s="369"/>
      <c r="H5" s="369"/>
      <c r="I5" s="369"/>
      <c r="J5" s="369"/>
      <c r="K5" s="369"/>
      <c r="L5" s="368"/>
    </row>
    <row r="6" spans="1:12" s="367" customFormat="1" ht="24" customHeight="1">
      <c r="A6" s="5"/>
      <c r="B6" s="68" t="s">
        <v>45</v>
      </c>
      <c r="C6" s="68"/>
      <c r="D6" s="67" t="s">
        <v>46</v>
      </c>
      <c r="E6" s="18"/>
      <c r="F6" s="375"/>
      <c r="G6" s="375"/>
      <c r="H6" s="375"/>
      <c r="I6" s="375"/>
      <c r="J6" s="375"/>
      <c r="K6" s="369"/>
      <c r="L6" s="368"/>
    </row>
    <row r="7" spans="1:12" s="367" customFormat="1" ht="8.25" customHeight="1">
      <c r="A7" s="5"/>
      <c r="B7" s="451"/>
      <c r="C7" s="365"/>
      <c r="D7" s="71"/>
      <c r="E7" s="72"/>
      <c r="F7" s="376"/>
      <c r="G7" s="376"/>
      <c r="H7" s="376"/>
      <c r="I7" s="376"/>
      <c r="J7" s="376"/>
      <c r="K7" s="369"/>
      <c r="L7" s="368"/>
    </row>
    <row r="8" spans="1:12" s="377" customFormat="1" ht="24.75" customHeight="1">
      <c r="A8" s="8"/>
      <c r="B8" s="452"/>
      <c r="C8" s="366"/>
      <c r="D8" s="69" t="s">
        <v>7</v>
      </c>
      <c r="E8" s="69"/>
      <c r="F8" s="378"/>
      <c r="G8" s="378"/>
      <c r="H8" s="378"/>
      <c r="I8" s="378"/>
      <c r="J8" s="378"/>
      <c r="K8" s="379"/>
      <c r="L8" s="380"/>
    </row>
    <row r="9" spans="1:12" s="377" customFormat="1" ht="24.75" customHeight="1">
      <c r="A9" s="8"/>
      <c r="B9" s="452"/>
      <c r="C9" s="366"/>
      <c r="D9" s="69" t="s">
        <v>8</v>
      </c>
      <c r="E9" s="69"/>
      <c r="F9" s="378"/>
      <c r="G9" s="378"/>
      <c r="H9" s="378"/>
      <c r="I9" s="378"/>
      <c r="J9" s="378"/>
      <c r="K9" s="379"/>
      <c r="L9" s="380"/>
    </row>
    <row r="10" spans="1:12" s="381" customFormat="1" ht="50.25" customHeight="1">
      <c r="A10" s="17"/>
      <c r="B10" s="452"/>
      <c r="C10" s="366"/>
      <c r="D10" s="70" t="s">
        <v>9</v>
      </c>
      <c r="E10" s="70"/>
      <c r="F10" s="382"/>
      <c r="G10" s="382"/>
      <c r="H10" s="382"/>
      <c r="I10" s="382"/>
      <c r="J10" s="382"/>
      <c r="K10" s="383"/>
      <c r="L10" s="384"/>
    </row>
    <row r="11" spans="1:12" s="385" customFormat="1" ht="8.25" customHeight="1">
      <c r="A11" s="10"/>
      <c r="B11" s="11"/>
      <c r="C11" s="11"/>
      <c r="D11" s="12"/>
      <c r="E11" s="12"/>
      <c r="F11" s="453"/>
      <c r="G11" s="453"/>
      <c r="H11" s="387"/>
      <c r="I11" s="388"/>
      <c r="J11" s="386"/>
      <c r="K11" s="386"/>
      <c r="L11" s="389"/>
    </row>
    <row r="12" spans="1:12" s="390" customFormat="1" ht="24" customHeight="1">
      <c r="A12" s="13"/>
      <c r="B12" s="102" t="s">
        <v>48</v>
      </c>
      <c r="C12" s="102"/>
      <c r="D12" s="103" t="s">
        <v>47</v>
      </c>
      <c r="E12" s="103"/>
      <c r="F12" s="391"/>
      <c r="G12" s="391"/>
      <c r="H12" s="391"/>
      <c r="I12" s="391"/>
      <c r="J12" s="391"/>
      <c r="K12" s="392"/>
      <c r="L12" s="393"/>
    </row>
    <row r="13" spans="1:11" ht="21.75" customHeight="1" hidden="1">
      <c r="A13" s="4"/>
      <c r="B13" s="454" t="s">
        <v>49</v>
      </c>
      <c r="C13" s="362"/>
      <c r="D13" s="69"/>
      <c r="E13" s="69"/>
      <c r="F13" s="457" t="s">
        <v>51</v>
      </c>
      <c r="G13" s="457"/>
      <c r="H13" s="394"/>
      <c r="I13" s="395" t="s">
        <v>52</v>
      </c>
      <c r="J13" s="378"/>
      <c r="K13" s="396"/>
    </row>
    <row r="14" spans="1:11" ht="16.5" customHeight="1" hidden="1">
      <c r="A14" s="4"/>
      <c r="B14" s="455"/>
      <c r="C14" s="425"/>
      <c r="D14" s="69" t="s">
        <v>93</v>
      </c>
      <c r="E14" s="69"/>
      <c r="F14" s="440"/>
      <c r="G14" s="441"/>
      <c r="H14" s="378"/>
      <c r="I14" s="397"/>
      <c r="J14" s="378"/>
      <c r="K14" s="398"/>
    </row>
    <row r="15" spans="1:11" ht="5.25" customHeight="1" hidden="1">
      <c r="A15" s="4"/>
      <c r="B15" s="455"/>
      <c r="C15" s="425"/>
      <c r="D15" s="69"/>
      <c r="E15" s="69"/>
      <c r="F15" s="378"/>
      <c r="G15" s="378"/>
      <c r="H15" s="378"/>
      <c r="I15" s="378"/>
      <c r="J15" s="378"/>
      <c r="K15" s="396"/>
    </row>
    <row r="16" spans="1:11" ht="15.75" customHeight="1" hidden="1">
      <c r="A16" s="4"/>
      <c r="B16" s="455"/>
      <c r="C16" s="425"/>
      <c r="D16" s="69" t="s">
        <v>94</v>
      </c>
      <c r="E16" s="69"/>
      <c r="F16" s="440"/>
      <c r="G16" s="441"/>
      <c r="H16" s="378"/>
      <c r="I16" s="397"/>
      <c r="J16" s="378"/>
      <c r="K16" s="396"/>
    </row>
    <row r="17" spans="1:11" ht="9.75" customHeight="1" hidden="1">
      <c r="A17" s="4"/>
      <c r="B17" s="456"/>
      <c r="C17" s="426"/>
      <c r="D17" s="75"/>
      <c r="E17" s="427"/>
      <c r="F17" s="400"/>
      <c r="G17" s="400"/>
      <c r="H17" s="400"/>
      <c r="I17" s="400"/>
      <c r="J17" s="400"/>
      <c r="K17" s="396"/>
    </row>
    <row r="18" spans="1:11" ht="9" customHeight="1" hidden="1">
      <c r="A18" s="4"/>
      <c r="B18" s="454" t="s">
        <v>50</v>
      </c>
      <c r="C18" s="362"/>
      <c r="D18" s="69"/>
      <c r="E18" s="73"/>
      <c r="F18" s="401"/>
      <c r="G18" s="401"/>
      <c r="H18" s="401"/>
      <c r="I18" s="401"/>
      <c r="J18" s="401"/>
      <c r="K18" s="396"/>
    </row>
    <row r="19" spans="1:11" ht="15.75" customHeight="1" hidden="1">
      <c r="A19" s="4"/>
      <c r="B19" s="454"/>
      <c r="C19" s="362"/>
      <c r="D19" s="69" t="s">
        <v>11</v>
      </c>
      <c r="E19" s="69"/>
      <c r="F19" s="440"/>
      <c r="G19" s="441"/>
      <c r="H19" s="378"/>
      <c r="I19" s="397"/>
      <c r="J19" s="378"/>
      <c r="K19" s="396"/>
    </row>
    <row r="20" spans="1:11" ht="39" customHeight="1" hidden="1">
      <c r="A20" s="4"/>
      <c r="B20" s="454"/>
      <c r="C20" s="362"/>
      <c r="D20" s="69"/>
      <c r="E20" s="69"/>
      <c r="F20" s="378"/>
      <c r="G20" s="378"/>
      <c r="H20" s="378"/>
      <c r="I20" s="378"/>
      <c r="J20" s="378"/>
      <c r="K20" s="396"/>
    </row>
    <row r="21" spans="1:11" ht="9" customHeight="1" hidden="1">
      <c r="A21" s="4"/>
      <c r="B21" s="15"/>
      <c r="C21" s="15"/>
      <c r="D21" s="14"/>
      <c r="E21" s="14"/>
      <c r="F21" s="396"/>
      <c r="G21" s="396"/>
      <c r="H21" s="396"/>
      <c r="I21" s="396"/>
      <c r="J21" s="396"/>
      <c r="K21" s="396"/>
    </row>
    <row r="22" spans="1:12" s="390" customFormat="1" ht="24" customHeight="1">
      <c r="A22" s="13"/>
      <c r="B22" s="102" t="s">
        <v>53</v>
      </c>
      <c r="C22" s="102"/>
      <c r="D22" s="104" t="s">
        <v>54</v>
      </c>
      <c r="E22" s="104"/>
      <c r="F22" s="403"/>
      <c r="G22" s="403"/>
      <c r="H22" s="403"/>
      <c r="I22" s="403"/>
      <c r="J22" s="429" t="s">
        <v>257</v>
      </c>
      <c r="K22" s="392"/>
      <c r="L22" s="393"/>
    </row>
    <row r="23" spans="1:11" ht="9" customHeight="1" hidden="1">
      <c r="A23" s="4"/>
      <c r="B23" s="439" t="s">
        <v>55</v>
      </c>
      <c r="C23" s="361"/>
      <c r="D23" s="69"/>
      <c r="E23" s="69"/>
      <c r="F23" s="378"/>
      <c r="G23" s="378"/>
      <c r="H23" s="378"/>
      <c r="I23" s="378"/>
      <c r="J23" s="404"/>
      <c r="K23" s="396"/>
    </row>
    <row r="24" spans="1:11" ht="15.75" customHeight="1" hidden="1">
      <c r="A24" s="4"/>
      <c r="B24" s="447"/>
      <c r="C24" s="363"/>
      <c r="D24" s="69" t="s">
        <v>13</v>
      </c>
      <c r="E24" s="69"/>
      <c r="F24" s="378"/>
      <c r="G24" s="440"/>
      <c r="H24" s="441"/>
      <c r="I24" s="378"/>
      <c r="J24" s="405"/>
      <c r="K24" s="396"/>
    </row>
    <row r="25" spans="1:11" ht="3" customHeight="1" hidden="1">
      <c r="A25" s="4"/>
      <c r="B25" s="447"/>
      <c r="C25" s="363"/>
      <c r="D25" s="69"/>
      <c r="E25" s="69"/>
      <c r="F25" s="378"/>
      <c r="G25" s="378"/>
      <c r="H25" s="378"/>
      <c r="I25" s="378"/>
      <c r="J25" s="405"/>
      <c r="K25" s="396"/>
    </row>
    <row r="26" spans="1:11" ht="15.75" customHeight="1" hidden="1">
      <c r="A26" s="4"/>
      <c r="B26" s="447"/>
      <c r="C26" s="363"/>
      <c r="D26" s="69" t="s">
        <v>14</v>
      </c>
      <c r="E26" s="69"/>
      <c r="F26" s="378"/>
      <c r="G26" s="440"/>
      <c r="H26" s="441"/>
      <c r="I26" s="378"/>
      <c r="J26" s="405"/>
      <c r="K26" s="396"/>
    </row>
    <row r="27" spans="1:11" ht="15.75" customHeight="1" hidden="1">
      <c r="A27" s="4"/>
      <c r="B27" s="447"/>
      <c r="C27" s="363"/>
      <c r="D27" s="74" t="s">
        <v>15</v>
      </c>
      <c r="E27" s="69"/>
      <c r="F27" s="378"/>
      <c r="G27" s="16"/>
      <c r="H27" s="105">
        <f>'BIG SIMULATOR'!C85</f>
        <v>0</v>
      </c>
      <c r="I27" s="378"/>
      <c r="J27" s="405"/>
      <c r="K27" s="396"/>
    </row>
    <row r="28" spans="1:11" ht="3" customHeight="1" hidden="1">
      <c r="A28" s="4"/>
      <c r="B28" s="447"/>
      <c r="C28" s="363"/>
      <c r="D28" s="69"/>
      <c r="E28" s="69"/>
      <c r="F28" s="378"/>
      <c r="G28" s="378"/>
      <c r="H28" s="378"/>
      <c r="I28" s="378"/>
      <c r="J28" s="405"/>
      <c r="K28" s="396"/>
    </row>
    <row r="29" spans="1:11" ht="18" customHeight="1" hidden="1">
      <c r="A29" s="4"/>
      <c r="B29" s="447"/>
      <c r="C29" s="363"/>
      <c r="D29" s="69" t="s">
        <v>16</v>
      </c>
      <c r="E29" s="69"/>
      <c r="F29" s="378"/>
      <c r="G29" s="378"/>
      <c r="H29" s="378"/>
      <c r="I29" s="378"/>
      <c r="J29" s="405"/>
      <c r="K29" s="396"/>
    </row>
    <row r="30" spans="1:11" ht="15.75" customHeight="1" hidden="1">
      <c r="A30" s="4"/>
      <c r="B30" s="447"/>
      <c r="C30" s="363"/>
      <c r="D30" s="106" t="s">
        <v>258</v>
      </c>
      <c r="E30" s="69"/>
      <c r="F30" s="378"/>
      <c r="G30" s="16"/>
      <c r="H30" s="378"/>
      <c r="I30" s="378"/>
      <c r="J30" s="405"/>
      <c r="K30" s="396"/>
    </row>
    <row r="31" spans="1:11" ht="15.75" customHeight="1" hidden="1">
      <c r="A31" s="4"/>
      <c r="B31" s="447"/>
      <c r="C31" s="363"/>
      <c r="D31" s="106" t="s">
        <v>95</v>
      </c>
      <c r="E31" s="69"/>
      <c r="F31" s="378"/>
      <c r="G31" s="440"/>
      <c r="H31" s="441"/>
      <c r="I31" s="378"/>
      <c r="J31" s="405"/>
      <c r="K31" s="396"/>
    </row>
    <row r="32" spans="1:11" ht="6" customHeight="1" hidden="1">
      <c r="A32" s="4"/>
      <c r="B32" s="447"/>
      <c r="C32" s="363"/>
      <c r="D32" s="69"/>
      <c r="E32" s="69"/>
      <c r="F32" s="378"/>
      <c r="G32" s="378"/>
      <c r="H32" s="378"/>
      <c r="I32" s="378"/>
      <c r="J32" s="405"/>
      <c r="K32" s="396"/>
    </row>
    <row r="33" spans="1:11" ht="15.75" customHeight="1" hidden="1">
      <c r="A33" s="4"/>
      <c r="B33" s="447"/>
      <c r="C33" s="363"/>
      <c r="D33" s="69" t="s">
        <v>17</v>
      </c>
      <c r="E33" s="69"/>
      <c r="F33" s="378"/>
      <c r="G33" s="440"/>
      <c r="H33" s="441"/>
      <c r="I33" s="378"/>
      <c r="J33" s="405"/>
      <c r="K33" s="396"/>
    </row>
    <row r="34" spans="1:11" ht="3" customHeight="1" hidden="1">
      <c r="A34" s="4"/>
      <c r="B34" s="447"/>
      <c r="C34" s="363"/>
      <c r="D34" s="69"/>
      <c r="E34" s="69"/>
      <c r="F34" s="378"/>
      <c r="G34" s="378"/>
      <c r="H34" s="378"/>
      <c r="I34" s="378"/>
      <c r="J34" s="405"/>
      <c r="K34" s="396"/>
    </row>
    <row r="35" spans="1:11" ht="15.75" customHeight="1" hidden="1">
      <c r="A35" s="4"/>
      <c r="B35" s="447"/>
      <c r="C35" s="363"/>
      <c r="D35" s="69" t="s">
        <v>18</v>
      </c>
      <c r="E35" s="69"/>
      <c r="F35" s="378"/>
      <c r="G35" s="440"/>
      <c r="H35" s="441"/>
      <c r="I35" s="378"/>
      <c r="J35" s="405"/>
      <c r="K35" s="396"/>
    </row>
    <row r="36" spans="1:11" ht="15.75" customHeight="1" hidden="1">
      <c r="A36" s="4"/>
      <c r="B36" s="447"/>
      <c r="C36" s="363"/>
      <c r="D36" s="74" t="s">
        <v>19</v>
      </c>
      <c r="E36" s="69"/>
      <c r="F36" s="378"/>
      <c r="G36" s="16"/>
      <c r="H36" s="378"/>
      <c r="I36" s="378"/>
      <c r="J36" s="405"/>
      <c r="K36" s="396"/>
    </row>
    <row r="37" spans="1:11" ht="9.75" customHeight="1" hidden="1">
      <c r="A37" s="4"/>
      <c r="B37" s="448"/>
      <c r="C37" s="364"/>
      <c r="D37" s="75"/>
      <c r="E37" s="75"/>
      <c r="F37" s="399"/>
      <c r="G37" s="399"/>
      <c r="H37" s="399"/>
      <c r="I37" s="399"/>
      <c r="J37" s="406"/>
      <c r="K37" s="396"/>
    </row>
    <row r="38" spans="1:11" ht="9" customHeight="1" hidden="1">
      <c r="A38" s="4"/>
      <c r="B38" s="439" t="s">
        <v>56</v>
      </c>
      <c r="C38" s="361"/>
      <c r="D38" s="9"/>
      <c r="E38" s="9"/>
      <c r="F38" s="407"/>
      <c r="G38" s="407"/>
      <c r="H38" s="407"/>
      <c r="I38" s="407"/>
      <c r="J38" s="408"/>
      <c r="K38" s="396"/>
    </row>
    <row r="39" spans="1:11" ht="15.75" customHeight="1" hidden="1">
      <c r="A39" s="4"/>
      <c r="B39" s="439"/>
      <c r="C39" s="361"/>
      <c r="D39" s="9" t="s">
        <v>20</v>
      </c>
      <c r="E39" s="9"/>
      <c r="F39" s="407"/>
      <c r="G39" s="440"/>
      <c r="H39" s="441"/>
      <c r="I39" s="407"/>
      <c r="J39" s="408"/>
      <c r="K39" s="396"/>
    </row>
    <row r="40" spans="1:11" ht="3" customHeight="1" hidden="1">
      <c r="A40" s="4"/>
      <c r="B40" s="439"/>
      <c r="C40" s="361"/>
      <c r="D40" s="9"/>
      <c r="E40" s="9"/>
      <c r="F40" s="407"/>
      <c r="G40" s="407"/>
      <c r="H40" s="407"/>
      <c r="I40" s="407"/>
      <c r="J40" s="408"/>
      <c r="K40" s="396"/>
    </row>
    <row r="41" spans="1:11" ht="14.25" customHeight="1" hidden="1">
      <c r="A41" s="4"/>
      <c r="B41" s="439"/>
      <c r="C41" s="361"/>
      <c r="D41" s="9" t="s">
        <v>21</v>
      </c>
      <c r="E41" s="9"/>
      <c r="F41" s="407"/>
      <c r="G41" s="407"/>
      <c r="H41" s="407"/>
      <c r="I41" s="407"/>
      <c r="J41" s="408"/>
      <c r="K41" s="396"/>
    </row>
    <row r="42" spans="1:11" ht="15.75" customHeight="1" hidden="1">
      <c r="A42" s="4"/>
      <c r="B42" s="439"/>
      <c r="C42" s="361"/>
      <c r="D42" s="107" t="s">
        <v>96</v>
      </c>
      <c r="E42" s="9"/>
      <c r="F42" s="407"/>
      <c r="G42" s="440"/>
      <c r="H42" s="441"/>
      <c r="I42" s="407"/>
      <c r="J42" s="408"/>
      <c r="K42" s="396"/>
    </row>
    <row r="43" spans="1:11" ht="15.75" customHeight="1" hidden="1">
      <c r="A43" s="4"/>
      <c r="B43" s="439"/>
      <c r="C43" s="361"/>
      <c r="D43" s="107" t="s">
        <v>97</v>
      </c>
      <c r="E43" s="9"/>
      <c r="F43" s="407"/>
      <c r="G43" s="440"/>
      <c r="H43" s="441"/>
      <c r="I43" s="407"/>
      <c r="J43" s="408"/>
      <c r="K43" s="396"/>
    </row>
    <row r="44" spans="1:11" ht="3" customHeight="1" hidden="1">
      <c r="A44" s="4"/>
      <c r="B44" s="439"/>
      <c r="C44" s="361"/>
      <c r="D44" s="9"/>
      <c r="E44" s="9"/>
      <c r="F44" s="407"/>
      <c r="G44" s="407"/>
      <c r="H44" s="407"/>
      <c r="I44" s="407"/>
      <c r="J44" s="408"/>
      <c r="K44" s="396"/>
    </row>
    <row r="45" spans="1:11" ht="15.75" customHeight="1" hidden="1">
      <c r="A45" s="4"/>
      <c r="B45" s="439"/>
      <c r="C45" s="361"/>
      <c r="D45" s="9" t="s">
        <v>22</v>
      </c>
      <c r="E45" s="9"/>
      <c r="F45" s="407"/>
      <c r="G45" s="440"/>
      <c r="H45" s="441"/>
      <c r="I45" s="407"/>
      <c r="J45" s="408"/>
      <c r="K45" s="396"/>
    </row>
    <row r="46" spans="1:11" ht="12" customHeight="1" hidden="1">
      <c r="A46" s="4"/>
      <c r="B46" s="439"/>
      <c r="C46" s="361"/>
      <c r="D46" s="9"/>
      <c r="E46" s="9"/>
      <c r="F46" s="407"/>
      <c r="G46" s="407"/>
      <c r="H46" s="407"/>
      <c r="I46" s="407"/>
      <c r="J46" s="407"/>
      <c r="K46" s="396"/>
    </row>
    <row r="47" spans="1:11" ht="46.5" customHeight="1" hidden="1">
      <c r="A47" s="4"/>
      <c r="B47" s="361"/>
      <c r="C47" s="361"/>
      <c r="D47" s="9"/>
      <c r="E47" s="9"/>
      <c r="F47" s="407"/>
      <c r="G47" s="407"/>
      <c r="H47" s="407"/>
      <c r="I47" s="407"/>
      <c r="J47" s="407"/>
      <c r="K47" s="396"/>
    </row>
    <row r="48" spans="2:11" ht="12.75">
      <c r="B48" s="402"/>
      <c r="C48" s="402"/>
      <c r="D48" s="396"/>
      <c r="E48" s="396"/>
      <c r="F48" s="396"/>
      <c r="G48" s="396"/>
      <c r="H48" s="396"/>
      <c r="I48" s="396"/>
      <c r="J48" s="396"/>
      <c r="K48" s="396"/>
    </row>
    <row r="49" spans="2:3" ht="15" customHeight="1">
      <c r="B49" s="409"/>
      <c r="C49" s="368"/>
    </row>
    <row r="50" spans="2:12" ht="35.25" customHeight="1">
      <c r="B50" s="368"/>
      <c r="C50" s="410"/>
      <c r="D50" s="428" t="str">
        <f>IF('BIG SIMULATOR'!C81="","Falta preencher dados",""&amp;'BIG SIMULATOR'!C81&amp;""&amp;", "&amp;IF('BIG SIMULATOR'!C85&gt;0,""&amp;'BIG SIMULATOR'!C85&amp;" Filhos","Sem filhos"))</f>
        <v>Falta preencher dados</v>
      </c>
      <c r="E50" s="411"/>
      <c r="F50" s="411"/>
      <c r="G50" s="411"/>
      <c r="H50" s="411"/>
      <c r="I50" s="411"/>
      <c r="J50" s="411"/>
      <c r="K50" s="411"/>
      <c r="L50" s="411"/>
    </row>
    <row r="51" spans="4:11" ht="6" customHeight="1">
      <c r="D51" s="412"/>
      <c r="E51" s="412"/>
      <c r="F51" s="412"/>
      <c r="G51" s="412"/>
      <c r="H51" s="412"/>
      <c r="I51" s="412"/>
      <c r="J51" s="412"/>
      <c r="K51" s="412"/>
    </row>
    <row r="52" spans="2:10" s="413" customFormat="1" ht="15">
      <c r="B52" s="414"/>
      <c r="C52" s="414"/>
      <c r="D52" s="414"/>
      <c r="E52" s="414"/>
      <c r="F52" s="414"/>
      <c r="G52" s="414"/>
      <c r="H52" s="414"/>
      <c r="I52" s="414"/>
      <c r="J52" s="414"/>
    </row>
    <row r="53" spans="2:14" ht="19.5" customHeight="1">
      <c r="B53" s="442"/>
      <c r="C53" s="415"/>
      <c r="D53" s="348" t="s">
        <v>23</v>
      </c>
      <c r="E53" s="349">
        <v>2013</v>
      </c>
      <c r="F53" s="349">
        <v>2014</v>
      </c>
      <c r="G53" s="443" t="s">
        <v>0</v>
      </c>
      <c r="H53" s="444"/>
      <c r="L53" s="416"/>
      <c r="M53" s="416"/>
      <c r="N53" s="416"/>
    </row>
    <row r="54" spans="2:14" ht="12.75">
      <c r="B54" s="442"/>
      <c r="C54" s="415"/>
      <c r="D54" s="350" t="s">
        <v>23</v>
      </c>
      <c r="E54" s="351">
        <f>'BIG SIMULATOR'!F21</f>
        <v>0</v>
      </c>
      <c r="F54" s="351">
        <f>'BIG SIMULATOR'!H21</f>
        <v>0</v>
      </c>
      <c r="G54" s="445">
        <f>F54-E54</f>
        <v>0</v>
      </c>
      <c r="H54" s="446"/>
      <c r="L54" s="416"/>
      <c r="M54" s="416"/>
      <c r="N54" s="416"/>
    </row>
    <row r="55" spans="2:14" ht="12.75">
      <c r="B55" s="442"/>
      <c r="C55" s="430"/>
      <c r="D55" s="352" t="s">
        <v>261</v>
      </c>
      <c r="E55" s="353">
        <f>'BIG SIMULATOR'!I120+'BIG SIMULATOR'!I128</f>
        <v>0</v>
      </c>
      <c r="F55" s="353">
        <f>('BIG SIMULATOR'!J119-'BIG SIMULATOR'!J121)+('BIG SIMULATOR'!J127-'BIG SIMULATOR'!J129)</f>
        <v>0</v>
      </c>
      <c r="G55" s="433">
        <f>F55-E55</f>
        <v>0</v>
      </c>
      <c r="H55" s="434"/>
      <c r="L55" s="416"/>
      <c r="M55" s="416"/>
      <c r="N55" s="416"/>
    </row>
    <row r="56" spans="2:14" ht="12.75">
      <c r="B56" s="442"/>
      <c r="C56" s="430"/>
      <c r="D56" s="352" t="s">
        <v>263</v>
      </c>
      <c r="E56" s="353">
        <f>IF('BIG SIMULATOR'!H165&gt;0,'BIG SIMULATOR'!H165,0)+IF('BIG SIMULATOR'!H175&gt;0,'BIG SIMULATOR'!H175,0)</f>
        <v>0</v>
      </c>
      <c r="F56" s="353">
        <f>IF('BIG SIMULATOR'!I165&gt;0,'BIG SIMULATOR'!I165,0)+IF('BIG SIMULATOR'!I175&gt;0,'BIG SIMULATOR'!I175,0)</f>
        <v>0</v>
      </c>
      <c r="G56" s="433">
        <f>F56-E56</f>
        <v>0</v>
      </c>
      <c r="H56" s="434"/>
      <c r="L56" s="416"/>
      <c r="M56" s="416"/>
      <c r="N56" s="416"/>
    </row>
    <row r="57" spans="2:14" ht="12.75">
      <c r="B57" s="442"/>
      <c r="C57" s="415"/>
      <c r="D57" s="352" t="s">
        <v>2</v>
      </c>
      <c r="E57" s="353">
        <f>'BIG SIMULATOR'!F40</f>
        <v>0</v>
      </c>
      <c r="F57" s="353">
        <f>'BIG SIMULATOR'!H40</f>
        <v>0</v>
      </c>
      <c r="G57" s="433">
        <f>F57-E57</f>
        <v>0</v>
      </c>
      <c r="H57" s="434"/>
      <c r="L57" s="417"/>
      <c r="M57" s="418"/>
      <c r="N57" s="416"/>
    </row>
    <row r="58" spans="2:14" ht="12.75">
      <c r="B58" s="419"/>
      <c r="C58" s="419"/>
      <c r="D58" s="352" t="s">
        <v>262</v>
      </c>
      <c r="E58" s="353">
        <f>'BIG SIMULATOR'!F67</f>
        <v>0</v>
      </c>
      <c r="F58" s="353">
        <f>'BIG SIMULATOR'!H67</f>
        <v>0</v>
      </c>
      <c r="G58" s="433">
        <f>-E58</f>
        <v>0</v>
      </c>
      <c r="H58" s="434"/>
      <c r="L58" s="420"/>
      <c r="M58" s="416"/>
      <c r="N58" s="416"/>
    </row>
    <row r="59" spans="1:14" ht="12.75">
      <c r="A59" s="409"/>
      <c r="B59" s="419"/>
      <c r="C59" s="419"/>
      <c r="D59" s="354" t="s">
        <v>24</v>
      </c>
      <c r="E59" s="353"/>
      <c r="F59" s="353"/>
      <c r="G59" s="433"/>
      <c r="H59" s="434"/>
      <c r="L59" s="420"/>
      <c r="M59" s="416"/>
      <c r="N59" s="416"/>
    </row>
    <row r="60" spans="2:14" ht="12.75">
      <c r="B60" s="419"/>
      <c r="C60" s="419"/>
      <c r="D60" s="355" t="s">
        <v>1</v>
      </c>
      <c r="E60" s="353">
        <f>IF(E54=0,0,'BIG SIMULATOR'!F43)</f>
        <v>0</v>
      </c>
      <c r="F60" s="353">
        <f>IF(F54=0,0,'BIG SIMULATOR'!H43)</f>
        <v>0</v>
      </c>
      <c r="G60" s="433">
        <f aca="true" t="shared" si="0" ref="G60:G66">F60-E60</f>
        <v>0</v>
      </c>
      <c r="H60" s="434"/>
      <c r="L60" s="420"/>
      <c r="M60" s="416"/>
      <c r="N60" s="416"/>
    </row>
    <row r="61" spans="4:14" ht="12.75">
      <c r="D61" s="352" t="s">
        <v>4</v>
      </c>
      <c r="E61" s="353">
        <f>'BIG SIMULATOR'!F52</f>
        <v>0</v>
      </c>
      <c r="F61" s="353">
        <f>'BIG SIMULATOR'!H52</f>
        <v>0</v>
      </c>
      <c r="G61" s="433">
        <f t="shared" si="0"/>
        <v>0</v>
      </c>
      <c r="H61" s="434"/>
      <c r="L61" s="420"/>
      <c r="M61" s="416"/>
      <c r="N61" s="416"/>
    </row>
    <row r="62" spans="4:14" ht="14.25" customHeight="1">
      <c r="D62" s="356" t="s">
        <v>5</v>
      </c>
      <c r="E62" s="353">
        <f>'BIG SIMULATOR'!F59</f>
        <v>0</v>
      </c>
      <c r="F62" s="353">
        <f>'BIG SIMULATOR'!H59</f>
        <v>0</v>
      </c>
      <c r="G62" s="433">
        <f t="shared" si="0"/>
        <v>0</v>
      </c>
      <c r="H62" s="434"/>
      <c r="L62" s="416"/>
      <c r="M62" s="421"/>
      <c r="N62" s="416"/>
    </row>
    <row r="63" spans="4:14" ht="12.75">
      <c r="D63" s="357" t="s">
        <v>260</v>
      </c>
      <c r="E63" s="353">
        <f>'BIG SIMULATOR'!F65</f>
        <v>0</v>
      </c>
      <c r="F63" s="353">
        <f>'BIG SIMULATOR'!H65</f>
        <v>0</v>
      </c>
      <c r="G63" s="433">
        <f t="shared" si="0"/>
        <v>0</v>
      </c>
      <c r="H63" s="434"/>
      <c r="L63" s="416"/>
      <c r="M63" s="416"/>
      <c r="N63" s="416"/>
    </row>
    <row r="64" spans="4:14" ht="12.75">
      <c r="D64" s="358" t="s">
        <v>25</v>
      </c>
      <c r="E64" s="351">
        <f>'BIG SIMULATOR'!F70</f>
        <v>0</v>
      </c>
      <c r="F64" s="359">
        <f>'BIG SIMULATOR'!H70</f>
        <v>0</v>
      </c>
      <c r="G64" s="431">
        <f t="shared" si="0"/>
        <v>0</v>
      </c>
      <c r="H64" s="432"/>
      <c r="L64" s="416"/>
      <c r="M64" s="416"/>
      <c r="N64" s="416"/>
    </row>
    <row r="65" spans="4:14" ht="12.75">
      <c r="D65" s="357" t="s">
        <v>3</v>
      </c>
      <c r="E65" s="353">
        <f>'BIG SIMULATOR'!F75</f>
        <v>0</v>
      </c>
      <c r="F65" s="353">
        <f>'BIG SIMULATOR'!H75</f>
        <v>0</v>
      </c>
      <c r="G65" s="433">
        <f t="shared" si="0"/>
        <v>0</v>
      </c>
      <c r="H65" s="434"/>
      <c r="L65" s="416"/>
      <c r="M65" s="416"/>
      <c r="N65" s="416"/>
    </row>
    <row r="66" spans="4:8" ht="12.75">
      <c r="D66" s="357" t="s">
        <v>6</v>
      </c>
      <c r="E66" s="360">
        <f>_xlfn.IFERROR('BIG SIMULATOR'!F73,0)</f>
        <v>0</v>
      </c>
      <c r="F66" s="360">
        <f>_xlfn.IFERROR('BIG SIMULATOR'!H73,0)</f>
        <v>0</v>
      </c>
      <c r="G66" s="435">
        <f t="shared" si="0"/>
        <v>0</v>
      </c>
      <c r="H66" s="436"/>
    </row>
    <row r="67" spans="4:8" ht="12.75">
      <c r="D67" s="422"/>
      <c r="E67" s="423"/>
      <c r="F67" s="423"/>
      <c r="G67" s="423"/>
      <c r="H67" s="423"/>
    </row>
    <row r="68" ht="0.75" customHeight="1"/>
    <row r="69" spans="2:3" ht="24.75" customHeight="1">
      <c r="B69" s="437"/>
      <c r="C69" s="424"/>
    </row>
    <row r="70" spans="2:3" ht="12.75">
      <c r="B70" s="437"/>
      <c r="C70" s="424"/>
    </row>
    <row r="71" ht="12.75"/>
    <row r="72" ht="100.5" customHeight="1"/>
    <row r="73" spans="2:10" ht="171.75" customHeight="1">
      <c r="B73" s="438"/>
      <c r="C73" s="438"/>
      <c r="D73" s="438"/>
      <c r="E73" s="438"/>
      <c r="F73" s="438"/>
      <c r="G73" s="438"/>
      <c r="H73" s="438"/>
      <c r="I73" s="438"/>
      <c r="J73" s="438"/>
    </row>
  </sheetData>
  <sheetProtection password="C7EC" sheet="1" objects="1" scenarios="1" formatColumns="0" formatRows="0" selectLockedCells="1"/>
  <mergeCells count="37">
    <mergeCell ref="G55:H55"/>
    <mergeCell ref="G56:H56"/>
    <mergeCell ref="B2:I3"/>
    <mergeCell ref="B7:B10"/>
    <mergeCell ref="F11:G11"/>
    <mergeCell ref="B13:B17"/>
    <mergeCell ref="F13:G13"/>
    <mergeCell ref="F14:G14"/>
    <mergeCell ref="F16:G16"/>
    <mergeCell ref="B18:B20"/>
    <mergeCell ref="F19:G19"/>
    <mergeCell ref="B23:B37"/>
    <mergeCell ref="G24:H24"/>
    <mergeCell ref="G26:H26"/>
    <mergeCell ref="G31:H31"/>
    <mergeCell ref="G33:H33"/>
    <mergeCell ref="G35:H35"/>
    <mergeCell ref="G63:H63"/>
    <mergeCell ref="B38:B46"/>
    <mergeCell ref="G39:H39"/>
    <mergeCell ref="G42:H42"/>
    <mergeCell ref="G43:H43"/>
    <mergeCell ref="G45:H45"/>
    <mergeCell ref="B53:B57"/>
    <mergeCell ref="G53:H53"/>
    <mergeCell ref="G54:H54"/>
    <mergeCell ref="G57:H57"/>
    <mergeCell ref="G64:H64"/>
    <mergeCell ref="G65:H65"/>
    <mergeCell ref="G66:H66"/>
    <mergeCell ref="B69:B70"/>
    <mergeCell ref="B73:J73"/>
    <mergeCell ref="G58:H58"/>
    <mergeCell ref="G59:H59"/>
    <mergeCell ref="G60:H60"/>
    <mergeCell ref="G61:H61"/>
    <mergeCell ref="G62:H62"/>
  </mergeCells>
  <conditionalFormatting sqref="G36">
    <cfRule type="expression" priority="3" dxfId="1">
      <formula>ISNUMBER($G$36)</formula>
    </cfRule>
    <cfRule type="expression" priority="4" dxfId="0">
      <formula>$G$35&lt;&gt;""</formula>
    </cfRule>
  </conditionalFormatting>
  <conditionalFormatting sqref="G30">
    <cfRule type="expression" priority="1" dxfId="1">
      <formula>ISNUMBER($G$30)</formula>
    </cfRule>
    <cfRule type="expression" priority="2" dxfId="0">
      <formula>$G$31&lt;&gt;""</formula>
    </cfRule>
  </conditionalFormatting>
  <dataValidations count="5">
    <dataValidation type="whole" showInputMessage="1" showErrorMessage="1" errorTitle="Erro: Preenchimento incorrecto" error="Número de dependentes com despesas de educação tem que ser menor ou igual ao número total de dependentes" sqref="G27">
      <formula1>0</formula1>
      <formula2>H27</formula2>
    </dataValidation>
    <dataValidation type="whole" showInputMessage="1" showErrorMessage="1" errorTitle="Erro: Preenchimento incorrecto" error="Número de dependentes com despesas de educação tem que ser menor ou igual ao número total de dependentes" sqref="G65519">
      <formula1>0</formula1>
      <formula2>'Simular IRS 2014'!#REF!</formula2>
    </dataValidation>
    <dataValidation type="decimal" showInputMessage="1" showErrorMessage="1" errorTitle="Erro: Preenchimento incorrecto" error="Por favor, preencher o rendimento auferido antes das contribuições para a segurança social. O valor inserido deverá ser inferior ao rendimento auferido e deve ser positivo&#10;." sqref="F65472:G65472">
      <formula1>0</formula1>
      <formula2>F65470</formula2>
    </dataValidation>
    <dataValidation type="decimal" showInputMessage="1" showErrorMessage="1" errorTitle="Erro: Preenchimento incorrecto" error="Por favor, inserir rendimento auferido antes de inserir as retenções na fonte. O valor inserido deverá ser positivo e infeior ao rendimento auferido." sqref="F65474:G65474">
      <formula1>0</formula1>
      <formula2>F65470</formula2>
    </dataValidation>
    <dataValidation type="decimal" showInputMessage="1" showErrorMessage="1" errorTitle="Erro: Preenchimento incorrecto" error="Por favor, inserir rendimento auferido antes de inserir as retenções na fonte. O valor inserido deverá ser positivo e infeior ao rendimento auferido" sqref="F65493:G65493">
      <formula1>0</formula1>
      <formula2>F65489</formula2>
    </dataValidation>
  </dataValidations>
  <hyperlinks>
    <hyperlink ref="J22" location="Informação!A1" display="Informação"/>
  </hyperlinks>
  <printOptions/>
  <pageMargins left="0.7086614173228347" right="0.7086614173228347" top="0.7480314960629921" bottom="0.7480314960629921" header="0.31496062992125984" footer="0.31496062992125984"/>
  <pageSetup fitToHeight="1" fitToWidth="1" horizontalDpi="600" verticalDpi="600" orientation="landscape" r:id="rId2"/>
  <ignoredErrors>
    <ignoredError sqref="H27" unlockedFormula="1"/>
  </ignoredErrors>
  <drawing r:id="rId1"/>
</worksheet>
</file>

<file path=xl/worksheets/sheet3.xml><?xml version="1.0" encoding="utf-8"?>
<worksheet xmlns="http://schemas.openxmlformats.org/spreadsheetml/2006/main" xmlns:r="http://schemas.openxmlformats.org/officeDocument/2006/relationships">
  <sheetPr codeName="Sheet9"/>
  <dimension ref="C1:N51"/>
  <sheetViews>
    <sheetView zoomScaleSheetLayoutView="100" zoomScalePageLayoutView="0" workbookViewId="0" topLeftCell="A1">
      <pane ySplit="7" topLeftCell="A8" activePane="bottomLeft" state="frozen"/>
      <selection pane="topLeft" activeCell="C25" sqref="C25:D25"/>
      <selection pane="bottomLeft" activeCell="C14" sqref="C14"/>
    </sheetView>
  </sheetViews>
  <sheetFormatPr defaultColWidth="9.140625" defaultRowHeight="12.75"/>
  <cols>
    <col min="1" max="1" width="10.7109375" style="30" customWidth="1"/>
    <col min="2" max="2" width="7.57421875" style="30" customWidth="1"/>
    <col min="3" max="3" width="119.28125" style="30" customWidth="1"/>
    <col min="4" max="4" width="10.8515625" style="30" customWidth="1"/>
    <col min="5" max="5" width="16.00390625" style="31" customWidth="1"/>
    <col min="6" max="6" width="3.28125" style="31" customWidth="1"/>
    <col min="7" max="7" width="16.00390625" style="31" customWidth="1"/>
    <col min="8" max="8" width="4.140625" style="31" customWidth="1"/>
    <col min="9" max="9" width="14.140625" style="31" customWidth="1"/>
    <col min="10" max="10" width="1.1484375" style="31" customWidth="1"/>
    <col min="11" max="11" width="3.140625" style="32" customWidth="1"/>
    <col min="12" max="12" width="2.57421875" style="31" customWidth="1"/>
    <col min="13" max="13" width="7.8515625" style="31" customWidth="1"/>
    <col min="14" max="16384" width="9.140625" style="30" customWidth="1"/>
  </cols>
  <sheetData>
    <row r="1" ht="3.75" customHeight="1">
      <c r="N1" s="31"/>
    </row>
    <row r="2" ht="12.75" customHeight="1">
      <c r="N2" s="31"/>
    </row>
    <row r="3" spans="4:14" ht="2.25" customHeight="1">
      <c r="D3" s="33"/>
      <c r="N3" s="31"/>
    </row>
    <row r="4" spans="3:14" ht="5.25" customHeight="1">
      <c r="C4" s="95"/>
      <c r="D4" s="33"/>
      <c r="E4" s="34"/>
      <c r="F4" s="34"/>
      <c r="G4" s="34"/>
      <c r="H4" s="34"/>
      <c r="I4" s="34"/>
      <c r="J4" s="34"/>
      <c r="K4" s="35"/>
      <c r="L4" s="34"/>
      <c r="M4" s="34"/>
      <c r="N4" s="31"/>
    </row>
    <row r="5" spans="3:14" s="39" customFormat="1" ht="20.25">
      <c r="C5" s="96" t="s">
        <v>36</v>
      </c>
      <c r="D5" s="33"/>
      <c r="E5" s="36"/>
      <c r="F5" s="36"/>
      <c r="G5" s="36"/>
      <c r="H5" s="36"/>
      <c r="I5" s="36"/>
      <c r="J5" s="36"/>
      <c r="K5" s="37"/>
      <c r="L5" s="36"/>
      <c r="M5" s="36"/>
      <c r="N5" s="38"/>
    </row>
    <row r="6" spans="3:14" s="39" customFormat="1" ht="68.25" customHeight="1">
      <c r="C6" s="97"/>
      <c r="D6" s="33"/>
      <c r="E6" s="36"/>
      <c r="F6" s="36"/>
      <c r="G6" s="36"/>
      <c r="H6" s="36"/>
      <c r="I6" s="36"/>
      <c r="J6" s="36"/>
      <c r="K6" s="37"/>
      <c r="L6" s="36"/>
      <c r="M6" s="36"/>
      <c r="N6" s="38"/>
    </row>
    <row r="7" spans="3:14" ht="9.75" customHeight="1">
      <c r="C7" s="40"/>
      <c r="D7" s="41"/>
      <c r="E7" s="42"/>
      <c r="F7" s="42"/>
      <c r="G7" s="42"/>
      <c r="H7" s="42"/>
      <c r="I7" s="42"/>
      <c r="J7" s="42"/>
      <c r="K7" s="43"/>
      <c r="L7" s="42"/>
      <c r="M7" s="42"/>
      <c r="N7" s="44"/>
    </row>
    <row r="8" ht="12" customHeight="1">
      <c r="C8" s="40"/>
    </row>
    <row r="9" ht="3.75" customHeight="1">
      <c r="C9" s="93"/>
    </row>
    <row r="10" ht="83.25" customHeight="1">
      <c r="C10" s="93" t="s">
        <v>65</v>
      </c>
    </row>
    <row r="11" ht="54" customHeight="1">
      <c r="C11" s="93" t="s">
        <v>66</v>
      </c>
    </row>
    <row r="12" ht="18" customHeight="1">
      <c r="C12" s="93" t="s">
        <v>37</v>
      </c>
    </row>
    <row r="13" ht="14.25">
      <c r="C13" s="93"/>
    </row>
    <row r="14" ht="14.25">
      <c r="C14" s="94" t="s">
        <v>38</v>
      </c>
    </row>
    <row r="15" ht="42.75">
      <c r="C15" s="93" t="s">
        <v>67</v>
      </c>
    </row>
    <row r="16" ht="14.25">
      <c r="C16" s="93"/>
    </row>
    <row r="17" ht="14.25">
      <c r="C17" s="94" t="s">
        <v>50</v>
      </c>
    </row>
    <row r="18" ht="42.75">
      <c r="C18" s="93" t="s">
        <v>68</v>
      </c>
    </row>
    <row r="19" ht="14.25">
      <c r="C19" s="93"/>
    </row>
    <row r="20" ht="14.25">
      <c r="C20" s="94" t="s">
        <v>69</v>
      </c>
    </row>
    <row r="21" ht="14.25">
      <c r="C21" s="93"/>
    </row>
    <row r="22" ht="14.25">
      <c r="C22" s="94" t="s">
        <v>39</v>
      </c>
    </row>
    <row r="23" ht="28.5">
      <c r="C23" s="93" t="s">
        <v>40</v>
      </c>
    </row>
    <row r="24" ht="14.25">
      <c r="C24" s="93"/>
    </row>
    <row r="25" ht="14.25">
      <c r="C25" s="94" t="s">
        <v>20</v>
      </c>
    </row>
    <row r="26" ht="28.5">
      <c r="C26" s="93" t="s">
        <v>41</v>
      </c>
    </row>
    <row r="27" ht="14.25">
      <c r="C27" s="93"/>
    </row>
    <row r="28" ht="14.25">
      <c r="C28" s="94" t="s">
        <v>42</v>
      </c>
    </row>
    <row r="29" ht="28.5">
      <c r="C29" s="93" t="s">
        <v>43</v>
      </c>
    </row>
    <row r="30" ht="14.25">
      <c r="C30" s="93"/>
    </row>
    <row r="31" ht="14.25">
      <c r="C31" s="94" t="s">
        <v>22</v>
      </c>
    </row>
    <row r="32" ht="51.75" customHeight="1">
      <c r="C32" s="93" t="s">
        <v>70</v>
      </c>
    </row>
    <row r="33" ht="14.25">
      <c r="C33" s="92"/>
    </row>
    <row r="34" ht="14.25">
      <c r="C34" s="92"/>
    </row>
    <row r="36" ht="14.25"/>
    <row r="37" ht="14.25"/>
    <row r="38" ht="14.25"/>
    <row r="39" ht="14.25"/>
    <row r="40" ht="14.25"/>
    <row r="49" spans="4:14" ht="14.25">
      <c r="D49" s="45"/>
      <c r="E49" s="46"/>
      <c r="F49" s="46"/>
      <c r="G49" s="46"/>
      <c r="H49" s="46"/>
      <c r="I49" s="46"/>
      <c r="J49" s="46"/>
      <c r="K49" s="47"/>
      <c r="L49" s="46"/>
      <c r="M49" s="46"/>
      <c r="N49" s="48"/>
    </row>
    <row r="51" ht="14.25">
      <c r="C51" s="45"/>
    </row>
  </sheetData>
  <sheetProtection password="C7EC" sheet="1" selectLockedCells="1" selectUnlockedCells="1"/>
  <printOptions/>
  <pageMargins left="0.7" right="0.7" top="0.75" bottom="0.75" header="0.3" footer="0.3"/>
  <pageSetup horizontalDpi="600" verticalDpi="600" orientation="portrait" paperSize="9" scale="64" r:id="rId2"/>
  <drawing r:id="rId1"/>
</worksheet>
</file>

<file path=xl/worksheets/sheet4.xml><?xml version="1.0" encoding="utf-8"?>
<worksheet xmlns="http://schemas.openxmlformats.org/spreadsheetml/2006/main" xmlns:r="http://schemas.openxmlformats.org/officeDocument/2006/relationships">
  <sheetPr codeName="Sheet10">
    <pageSetUpPr fitToPage="1"/>
  </sheetPr>
  <dimension ref="A2:S70"/>
  <sheetViews>
    <sheetView zoomScalePageLayoutView="0" workbookViewId="0" topLeftCell="A1">
      <pane ySplit="4" topLeftCell="A5" activePane="bottomLeft" state="frozen"/>
      <selection pane="topLeft" activeCell="C25" sqref="C25:D25"/>
      <selection pane="bottomLeft" activeCell="A1" sqref="A1"/>
    </sheetView>
  </sheetViews>
  <sheetFormatPr defaultColWidth="11.28125" defaultRowHeight="12.75"/>
  <cols>
    <col min="1" max="1" width="11.7109375" style="21" customWidth="1"/>
    <col min="2" max="2" width="7.7109375" style="21" customWidth="1"/>
    <col min="3" max="3" width="6.8515625" style="29" customWidth="1"/>
    <col min="4" max="4" width="2.28125" style="29" customWidth="1"/>
    <col min="5" max="6" width="26.8515625" style="29" customWidth="1"/>
    <col min="7" max="7" width="47.57421875" style="29" customWidth="1"/>
    <col min="8" max="250" width="9.140625" style="21" customWidth="1"/>
    <col min="251" max="251" width="7.7109375" style="21" customWidth="1"/>
    <col min="252" max="253" width="26.8515625" style="21" customWidth="1"/>
    <col min="254" max="255" width="26.57421875" style="21" customWidth="1"/>
    <col min="256" max="16384" width="11.28125" style="21" customWidth="1"/>
  </cols>
  <sheetData>
    <row r="1" ht="14.25"/>
    <row r="2" spans="4:7" ht="4.5" customHeight="1">
      <c r="D2" s="66"/>
      <c r="E2" s="473" t="s">
        <v>256</v>
      </c>
      <c r="F2" s="473"/>
      <c r="G2" s="473"/>
    </row>
    <row r="3" spans="4:7" ht="18" customHeight="1">
      <c r="D3" s="19"/>
      <c r="E3" s="474"/>
      <c r="F3" s="474"/>
      <c r="G3" s="474"/>
    </row>
    <row r="4" spans="1:19" s="20" customFormat="1" ht="66.75" customHeight="1">
      <c r="A4" s="21"/>
      <c r="B4" s="21"/>
      <c r="C4" s="477"/>
      <c r="D4" s="477"/>
      <c r="E4" s="477"/>
      <c r="F4" s="477"/>
      <c r="G4" s="477"/>
      <c r="H4" s="21"/>
      <c r="I4" s="21"/>
      <c r="J4" s="21"/>
      <c r="K4" s="21"/>
      <c r="L4" s="21"/>
      <c r="M4" s="21"/>
      <c r="N4" s="21"/>
      <c r="O4" s="21"/>
      <c r="P4" s="21"/>
      <c r="Q4" s="21"/>
      <c r="R4" s="21"/>
      <c r="S4" s="21"/>
    </row>
    <row r="5" spans="1:7" ht="14.25">
      <c r="A5" s="22"/>
      <c r="B5" s="22"/>
      <c r="C5" s="23"/>
      <c r="D5" s="23"/>
      <c r="E5" s="23"/>
      <c r="F5" s="23"/>
      <c r="G5" s="23"/>
    </row>
    <row r="6" spans="1:7" ht="23.25" customHeight="1">
      <c r="A6" s="22"/>
      <c r="B6" s="22"/>
      <c r="C6" s="21"/>
      <c r="D6" s="21"/>
      <c r="E6" s="21"/>
      <c r="F6" s="21"/>
      <c r="G6" s="21"/>
    </row>
    <row r="7" spans="1:7" s="25" customFormat="1" ht="21" customHeight="1">
      <c r="A7" s="24"/>
      <c r="B7" s="24"/>
      <c r="C7" s="460" t="s">
        <v>57</v>
      </c>
      <c r="D7" s="478"/>
      <c r="E7" s="478"/>
      <c r="F7" s="478"/>
      <c r="G7" s="478"/>
    </row>
    <row r="8" spans="1:7" s="25" customFormat="1" ht="14.25">
      <c r="A8" s="24"/>
      <c r="B8" s="24"/>
      <c r="C8" s="479"/>
      <c r="D8" s="479"/>
      <c r="E8" s="479"/>
      <c r="F8" s="479"/>
      <c r="G8" s="479"/>
    </row>
    <row r="9" spans="1:7" s="25" customFormat="1" ht="14.25">
      <c r="A9" s="24"/>
      <c r="B9" s="24"/>
      <c r="C9" s="458" t="s">
        <v>71</v>
      </c>
      <c r="D9" s="480"/>
      <c r="E9" s="480"/>
      <c r="F9" s="480"/>
      <c r="G9" s="480"/>
    </row>
    <row r="10" spans="1:7" s="25" customFormat="1" ht="14.25">
      <c r="A10" s="24"/>
      <c r="B10" s="24"/>
      <c r="C10" s="469" t="s">
        <v>72</v>
      </c>
      <c r="D10" s="470"/>
      <c r="E10" s="470"/>
      <c r="F10" s="470"/>
      <c r="G10" s="470"/>
    </row>
    <row r="11" spans="1:7" s="25" customFormat="1" ht="33.75" customHeight="1">
      <c r="A11" s="24"/>
      <c r="B11" s="24"/>
      <c r="C11" s="466" t="s">
        <v>28</v>
      </c>
      <c r="D11" s="466"/>
      <c r="E11" s="466"/>
      <c r="F11" s="466"/>
      <c r="G11" s="466"/>
    </row>
    <row r="12" spans="1:7" ht="39" customHeight="1">
      <c r="A12" s="22"/>
      <c r="B12" s="22"/>
      <c r="C12" s="466" t="s">
        <v>73</v>
      </c>
      <c r="D12" s="466"/>
      <c r="E12" s="466"/>
      <c r="F12" s="466"/>
      <c r="G12" s="466"/>
    </row>
    <row r="13" spans="1:7" ht="50.25" customHeight="1">
      <c r="A13" s="22"/>
      <c r="B13" s="22"/>
      <c r="C13" s="458" t="s">
        <v>74</v>
      </c>
      <c r="D13" s="458"/>
      <c r="E13" s="458"/>
      <c r="F13" s="458"/>
      <c r="G13" s="458"/>
    </row>
    <row r="14" spans="1:7" s="78" customFormat="1" ht="11.25" customHeight="1">
      <c r="A14" s="76"/>
      <c r="B14" s="76"/>
      <c r="C14" s="65"/>
      <c r="D14" s="65"/>
      <c r="E14" s="65"/>
      <c r="F14" s="65"/>
      <c r="G14" s="65"/>
    </row>
    <row r="15" spans="1:7" ht="18" customHeight="1">
      <c r="A15" s="22"/>
      <c r="B15" s="22"/>
      <c r="C15" s="460" t="s">
        <v>14</v>
      </c>
      <c r="D15" s="460"/>
      <c r="E15" s="460"/>
      <c r="F15" s="460"/>
      <c r="G15" s="460"/>
    </row>
    <row r="16" spans="1:7" ht="15.75" customHeight="1">
      <c r="A16" s="22"/>
      <c r="B16" s="22"/>
      <c r="C16" s="77"/>
      <c r="D16" s="77"/>
      <c r="E16" s="77"/>
      <c r="F16" s="77"/>
      <c r="G16" s="77"/>
    </row>
    <row r="17" spans="1:7" s="27" customFormat="1" ht="27" customHeight="1">
      <c r="A17" s="26"/>
      <c r="B17" s="26"/>
      <c r="C17" s="467" t="s">
        <v>29</v>
      </c>
      <c r="D17" s="467"/>
      <c r="E17" s="467"/>
      <c r="F17" s="467"/>
      <c r="G17" s="467"/>
    </row>
    <row r="18" spans="1:7" ht="27.75" customHeight="1">
      <c r="A18" s="22"/>
      <c r="B18" s="22"/>
      <c r="C18" s="468" t="s">
        <v>30</v>
      </c>
      <c r="D18" s="468"/>
      <c r="E18" s="468"/>
      <c r="F18" s="468"/>
      <c r="G18" s="468"/>
    </row>
    <row r="19" spans="1:7" s="78" customFormat="1" ht="8.25" customHeight="1">
      <c r="A19" s="76"/>
      <c r="B19" s="76"/>
      <c r="C19" s="63"/>
      <c r="D19" s="63"/>
      <c r="E19" s="63"/>
      <c r="F19" s="63"/>
      <c r="G19" s="63"/>
    </row>
    <row r="20" spans="1:7" ht="33.75" customHeight="1">
      <c r="A20" s="22"/>
      <c r="B20" s="22"/>
      <c r="C20" s="460" t="s">
        <v>58</v>
      </c>
      <c r="D20" s="460"/>
      <c r="E20" s="460"/>
      <c r="F20" s="460"/>
      <c r="G20" s="460"/>
    </row>
    <row r="21" spans="1:7" ht="18" customHeight="1">
      <c r="A21" s="22"/>
      <c r="B21" s="22"/>
      <c r="C21" s="77"/>
      <c r="D21" s="80"/>
      <c r="E21" s="80"/>
      <c r="F21" s="80"/>
      <c r="G21" s="80"/>
    </row>
    <row r="22" spans="1:7" ht="59.25" customHeight="1">
      <c r="A22" s="26"/>
      <c r="B22" s="26"/>
      <c r="C22" s="476" t="s">
        <v>75</v>
      </c>
      <c r="D22" s="476"/>
      <c r="E22" s="476"/>
      <c r="F22" s="476"/>
      <c r="G22" s="476"/>
    </row>
    <row r="23" spans="1:7" ht="26.25" customHeight="1">
      <c r="A23" s="26"/>
      <c r="B23" s="26"/>
      <c r="C23" s="458" t="s">
        <v>76</v>
      </c>
      <c r="D23" s="458"/>
      <c r="E23" s="458"/>
      <c r="F23" s="458"/>
      <c r="G23" s="458"/>
    </row>
    <row r="24" spans="1:7" s="78" customFormat="1" ht="14.25">
      <c r="A24" s="81"/>
      <c r="B24" s="81"/>
      <c r="C24" s="465"/>
      <c r="D24" s="465"/>
      <c r="E24" s="465"/>
      <c r="F24" s="465"/>
      <c r="G24" s="465"/>
    </row>
    <row r="25" spans="1:7" ht="28.5" customHeight="1">
      <c r="A25" s="22"/>
      <c r="B25" s="22"/>
      <c r="C25" s="460" t="s">
        <v>59</v>
      </c>
      <c r="D25" s="460"/>
      <c r="E25" s="460"/>
      <c r="F25" s="460"/>
      <c r="G25" s="460"/>
    </row>
    <row r="26" spans="1:7" ht="14.25">
      <c r="A26" s="22"/>
      <c r="B26" s="22"/>
      <c r="C26" s="77"/>
      <c r="D26" s="77"/>
      <c r="E26" s="77"/>
      <c r="F26" s="77"/>
      <c r="G26" s="77"/>
    </row>
    <row r="27" spans="1:7" ht="27" customHeight="1">
      <c r="A27" s="22"/>
      <c r="B27" s="22"/>
      <c r="C27" s="459" t="s">
        <v>31</v>
      </c>
      <c r="D27" s="459"/>
      <c r="E27" s="459"/>
      <c r="F27" s="459"/>
      <c r="G27" s="459"/>
    </row>
    <row r="28" spans="1:7" ht="14.25">
      <c r="A28" s="22"/>
      <c r="B28" s="22"/>
      <c r="C28" s="63"/>
      <c r="D28" s="63"/>
      <c r="E28" s="63"/>
      <c r="F28" s="63"/>
      <c r="G28" s="63"/>
    </row>
    <row r="29" spans="1:7" ht="23.25" customHeight="1">
      <c r="A29" s="22"/>
      <c r="B29" s="22"/>
      <c r="C29" s="460" t="s">
        <v>60</v>
      </c>
      <c r="D29" s="460"/>
      <c r="E29" s="460"/>
      <c r="F29" s="460"/>
      <c r="G29" s="460"/>
    </row>
    <row r="30" spans="1:7" s="83" customFormat="1" ht="14.25">
      <c r="A30" s="82"/>
      <c r="B30" s="82"/>
      <c r="C30" s="475"/>
      <c r="D30" s="475"/>
      <c r="E30" s="475"/>
      <c r="F30" s="475"/>
      <c r="G30" s="475"/>
    </row>
    <row r="31" spans="1:7" s="86" customFormat="1" ht="12" customHeight="1">
      <c r="A31" s="84"/>
      <c r="B31" s="84"/>
      <c r="C31" s="458" t="s">
        <v>77</v>
      </c>
      <c r="D31" s="458"/>
      <c r="E31" s="458"/>
      <c r="F31" s="458"/>
      <c r="G31" s="458"/>
    </row>
    <row r="32" spans="1:7" ht="14.25">
      <c r="A32" s="26"/>
      <c r="B32" s="26"/>
      <c r="C32" s="28"/>
      <c r="D32" s="28"/>
      <c r="E32" s="28"/>
      <c r="F32" s="28"/>
      <c r="G32" s="28"/>
    </row>
    <row r="33" spans="1:7" ht="18" customHeight="1">
      <c r="A33" s="26"/>
      <c r="B33" s="26"/>
      <c r="C33" s="460" t="s">
        <v>61</v>
      </c>
      <c r="D33" s="460"/>
      <c r="E33" s="460"/>
      <c r="F33" s="460"/>
      <c r="G33" s="460"/>
    </row>
    <row r="34" spans="1:7" ht="14.25">
      <c r="A34" s="22"/>
      <c r="B34" s="22"/>
      <c r="C34" s="77"/>
      <c r="D34" s="85"/>
      <c r="E34" s="85"/>
      <c r="F34" s="85"/>
      <c r="G34" s="85"/>
    </row>
    <row r="35" spans="1:7" ht="23.25" customHeight="1">
      <c r="A35" s="22"/>
      <c r="B35" s="22"/>
      <c r="C35" s="458" t="s">
        <v>32</v>
      </c>
      <c r="D35" s="458"/>
      <c r="E35" s="458"/>
      <c r="F35" s="458"/>
      <c r="G35" s="458"/>
    </row>
    <row r="36" spans="1:7" s="78" customFormat="1" ht="13.5" customHeight="1">
      <c r="A36" s="76"/>
      <c r="B36" s="76"/>
      <c r="C36" s="463" t="s">
        <v>33</v>
      </c>
      <c r="D36" s="463"/>
      <c r="E36" s="463"/>
      <c r="F36" s="463"/>
      <c r="G36" s="463"/>
    </row>
    <row r="37" spans="1:7" ht="14.25">
      <c r="A37" s="22"/>
      <c r="B37" s="22"/>
      <c r="C37" s="63"/>
      <c r="D37" s="63"/>
      <c r="E37" s="63"/>
      <c r="F37" s="63"/>
      <c r="G37" s="63"/>
    </row>
    <row r="38" spans="1:7" ht="21.75" customHeight="1">
      <c r="A38" s="22"/>
      <c r="B38" s="22"/>
      <c r="C38" s="460" t="s">
        <v>22</v>
      </c>
      <c r="D38" s="460"/>
      <c r="E38" s="460"/>
      <c r="F38" s="460"/>
      <c r="G38" s="460"/>
    </row>
    <row r="39" spans="1:7" ht="14.25">
      <c r="A39" s="22"/>
      <c r="B39" s="22"/>
      <c r="C39" s="77"/>
      <c r="D39" s="77"/>
      <c r="E39" s="77"/>
      <c r="F39" s="77"/>
      <c r="G39" s="77"/>
    </row>
    <row r="40" spans="1:7" s="78" customFormat="1" ht="39.75" customHeight="1">
      <c r="A40" s="76"/>
      <c r="B40" s="76"/>
      <c r="C40" s="458" t="s">
        <v>78</v>
      </c>
      <c r="D40" s="458"/>
      <c r="E40" s="458"/>
      <c r="F40" s="458"/>
      <c r="G40" s="458"/>
    </row>
    <row r="41" spans="1:7" ht="14.25">
      <c r="A41" s="22"/>
      <c r="B41" s="22"/>
      <c r="C41" s="63"/>
      <c r="D41" s="63"/>
      <c r="E41" s="63"/>
      <c r="F41" s="63"/>
      <c r="G41" s="63"/>
    </row>
    <row r="42" spans="1:7" ht="18" customHeight="1">
      <c r="A42" s="22"/>
      <c r="B42" s="22"/>
      <c r="C42" s="460" t="s">
        <v>62</v>
      </c>
      <c r="D42" s="460"/>
      <c r="E42" s="460"/>
      <c r="F42" s="460"/>
      <c r="G42" s="460"/>
    </row>
    <row r="43" spans="1:7" ht="18" customHeight="1">
      <c r="A43" s="22"/>
      <c r="B43" s="22"/>
      <c r="C43" s="77"/>
      <c r="D43" s="80"/>
      <c r="E43" s="80"/>
      <c r="F43" s="80"/>
      <c r="G43" s="80"/>
    </row>
    <row r="44" spans="1:7" ht="18" customHeight="1">
      <c r="A44" s="22"/>
      <c r="B44" s="22"/>
      <c r="C44" s="462" t="s">
        <v>79</v>
      </c>
      <c r="D44" s="462"/>
      <c r="E44" s="462"/>
      <c r="F44" s="462"/>
      <c r="G44" s="462"/>
    </row>
    <row r="45" spans="1:7" ht="14.25">
      <c r="A45" s="22"/>
      <c r="B45" s="22"/>
      <c r="C45" s="471" t="s">
        <v>63</v>
      </c>
      <c r="D45" s="471"/>
      <c r="E45" s="471"/>
      <c r="F45" s="471"/>
      <c r="G45" s="471"/>
    </row>
    <row r="46" spans="1:7" ht="14.25">
      <c r="A46" s="22"/>
      <c r="B46" s="22"/>
      <c r="C46" s="471" t="s">
        <v>64</v>
      </c>
      <c r="D46" s="471"/>
      <c r="E46" s="471"/>
      <c r="F46" s="471"/>
      <c r="G46" s="471"/>
    </row>
    <row r="47" spans="1:7" s="78" customFormat="1" ht="16.5" customHeight="1">
      <c r="A47" s="76"/>
      <c r="B47" s="76"/>
      <c r="C47" s="471" t="s">
        <v>80</v>
      </c>
      <c r="D47" s="471"/>
      <c r="E47" s="471"/>
      <c r="F47" s="471"/>
      <c r="G47" s="471"/>
    </row>
    <row r="48" spans="1:7" ht="14.25">
      <c r="A48" s="22"/>
      <c r="B48" s="22"/>
      <c r="C48" s="465"/>
      <c r="D48" s="465"/>
      <c r="E48" s="465"/>
      <c r="F48" s="465"/>
      <c r="G48" s="465"/>
    </row>
    <row r="49" spans="1:7" ht="22.5" customHeight="1">
      <c r="A49" s="22"/>
      <c r="B49" s="22"/>
      <c r="C49" s="460" t="s">
        <v>81</v>
      </c>
      <c r="D49" s="460"/>
      <c r="E49" s="460"/>
      <c r="F49" s="460"/>
      <c r="G49" s="460"/>
    </row>
    <row r="50" spans="1:7" ht="14.25">
      <c r="A50" s="22"/>
      <c r="B50" s="22"/>
      <c r="C50" s="87"/>
      <c r="D50" s="88"/>
      <c r="E50" s="88"/>
      <c r="F50" s="88"/>
      <c r="G50" s="88"/>
    </row>
    <row r="51" spans="1:7" ht="22.5" customHeight="1">
      <c r="A51" s="22"/>
      <c r="B51" s="22"/>
      <c r="C51" s="461" t="s">
        <v>82</v>
      </c>
      <c r="D51" s="461"/>
      <c r="E51" s="461"/>
      <c r="F51" s="461"/>
      <c r="G51" s="461"/>
    </row>
    <row r="52" spans="1:7" ht="22.5" customHeight="1">
      <c r="A52" s="22"/>
      <c r="B52" s="22"/>
      <c r="C52" s="461" t="s">
        <v>83</v>
      </c>
      <c r="D52" s="461"/>
      <c r="E52" s="461"/>
      <c r="F52" s="461"/>
      <c r="G52" s="461"/>
    </row>
    <row r="53" spans="1:7" ht="22.5" customHeight="1">
      <c r="A53" s="22"/>
      <c r="B53" s="22"/>
      <c r="C53" s="461" t="s">
        <v>84</v>
      </c>
      <c r="D53" s="461"/>
      <c r="E53" s="461"/>
      <c r="F53" s="461"/>
      <c r="G53" s="461"/>
    </row>
    <row r="54" spans="1:7" ht="22.5" customHeight="1">
      <c r="A54" s="22"/>
      <c r="B54" s="22"/>
      <c r="C54" s="461" t="s">
        <v>85</v>
      </c>
      <c r="D54" s="461"/>
      <c r="E54" s="461"/>
      <c r="F54" s="461"/>
      <c r="G54" s="461"/>
    </row>
    <row r="55" spans="1:7" ht="25.5" customHeight="1">
      <c r="A55" s="22"/>
      <c r="B55" s="22"/>
      <c r="C55" s="461" t="s">
        <v>86</v>
      </c>
      <c r="D55" s="461"/>
      <c r="E55" s="461"/>
      <c r="F55" s="461"/>
      <c r="G55" s="461"/>
    </row>
    <row r="56" spans="1:7" ht="14.25">
      <c r="A56" s="22"/>
      <c r="B56" s="22"/>
      <c r="C56" s="472"/>
      <c r="D56" s="472"/>
      <c r="E56" s="472"/>
      <c r="F56" s="472"/>
      <c r="G56" s="472"/>
    </row>
    <row r="57" spans="1:7" ht="29.25" customHeight="1">
      <c r="A57" s="22"/>
      <c r="B57" s="22"/>
      <c r="C57" s="458" t="s">
        <v>34</v>
      </c>
      <c r="D57" s="458"/>
      <c r="E57" s="458"/>
      <c r="F57" s="458"/>
      <c r="G57" s="458"/>
    </row>
    <row r="58" spans="1:7" ht="35.25" customHeight="1">
      <c r="A58" s="22"/>
      <c r="B58" s="22"/>
      <c r="C58" s="458" t="s">
        <v>87</v>
      </c>
      <c r="D58" s="458"/>
      <c r="E58" s="458"/>
      <c r="F58" s="458"/>
      <c r="G58" s="458"/>
    </row>
    <row r="59" spans="1:7" ht="14.25">
      <c r="A59" s="22"/>
      <c r="B59" s="22"/>
      <c r="C59" s="64"/>
      <c r="D59" s="64"/>
      <c r="E59" s="64"/>
      <c r="F59" s="64"/>
      <c r="G59" s="64"/>
    </row>
    <row r="60" spans="1:7" s="78" customFormat="1" ht="18" customHeight="1">
      <c r="A60" s="76"/>
      <c r="B60" s="76"/>
      <c r="C60" s="460" t="s">
        <v>88</v>
      </c>
      <c r="D60" s="460"/>
      <c r="E60" s="460"/>
      <c r="F60" s="460"/>
      <c r="G60" s="460"/>
    </row>
    <row r="61" spans="1:7" ht="22.5" customHeight="1">
      <c r="A61" s="22"/>
      <c r="B61" s="22"/>
      <c r="C61" s="77"/>
      <c r="D61" s="77"/>
      <c r="E61" s="77"/>
      <c r="F61" s="77"/>
      <c r="G61" s="77"/>
    </row>
    <row r="62" spans="1:7" ht="22.5" customHeight="1">
      <c r="A62" s="22"/>
      <c r="B62" s="22"/>
      <c r="C62" s="464" t="s">
        <v>82</v>
      </c>
      <c r="D62" s="464"/>
      <c r="E62" s="464"/>
      <c r="F62" s="464"/>
      <c r="G62" s="464"/>
    </row>
    <row r="63" spans="1:7" ht="22.5" customHeight="1">
      <c r="A63" s="22"/>
      <c r="B63" s="22"/>
      <c r="C63" s="464" t="s">
        <v>89</v>
      </c>
      <c r="D63" s="464"/>
      <c r="E63" s="464"/>
      <c r="F63" s="464"/>
      <c r="G63" s="464"/>
    </row>
    <row r="64" spans="1:7" ht="22.5" customHeight="1">
      <c r="A64" s="22"/>
      <c r="B64" s="22"/>
      <c r="C64" s="464" t="s">
        <v>90</v>
      </c>
      <c r="D64" s="464"/>
      <c r="E64" s="464"/>
      <c r="F64" s="464"/>
      <c r="G64" s="464"/>
    </row>
    <row r="65" spans="1:7" ht="22.5" customHeight="1">
      <c r="A65" s="22"/>
      <c r="B65" s="22"/>
      <c r="C65" s="464" t="s">
        <v>91</v>
      </c>
      <c r="D65" s="464"/>
      <c r="E65" s="464"/>
      <c r="F65" s="464"/>
      <c r="G65" s="464"/>
    </row>
    <row r="66" spans="1:7" ht="22.5" customHeight="1">
      <c r="A66" s="22"/>
      <c r="B66" s="22"/>
      <c r="C66" s="464" t="s">
        <v>92</v>
      </c>
      <c r="D66" s="464"/>
      <c r="E66" s="464"/>
      <c r="F66" s="464"/>
      <c r="G66" s="464"/>
    </row>
    <row r="67" spans="1:7" ht="22.5" customHeight="1">
      <c r="A67" s="22"/>
      <c r="B67" s="22"/>
      <c r="C67" s="79"/>
      <c r="D67" s="79"/>
      <c r="E67" s="79"/>
      <c r="F67" s="79"/>
      <c r="G67" s="79"/>
    </row>
    <row r="68" spans="1:7" ht="25.5" customHeight="1">
      <c r="A68" s="22"/>
      <c r="B68" s="22"/>
      <c r="C68" s="91" t="s">
        <v>35</v>
      </c>
      <c r="D68" s="89"/>
      <c r="E68" s="89"/>
      <c r="F68" s="90"/>
      <c r="G68" s="90"/>
    </row>
    <row r="69" spans="1:7" ht="14.25">
      <c r="A69" s="22"/>
      <c r="B69" s="22"/>
      <c r="C69" s="21"/>
      <c r="D69" s="21"/>
      <c r="E69" s="21"/>
      <c r="F69" s="21"/>
      <c r="G69" s="21"/>
    </row>
    <row r="70" spans="1:7" ht="14.25">
      <c r="A70" s="22"/>
      <c r="B70" s="22"/>
      <c r="C70" s="21"/>
      <c r="D70" s="21"/>
      <c r="E70" s="21"/>
      <c r="F70" s="21"/>
      <c r="G70" s="21"/>
    </row>
  </sheetData>
  <sheetProtection password="C7EC" sheet="1"/>
  <mergeCells count="47">
    <mergeCell ref="E2:G3"/>
    <mergeCell ref="C30:G30"/>
    <mergeCell ref="C46:G46"/>
    <mergeCell ref="C11:G11"/>
    <mergeCell ref="C20:G20"/>
    <mergeCell ref="C22:G22"/>
    <mergeCell ref="C4:G4"/>
    <mergeCell ref="C7:G7"/>
    <mergeCell ref="C8:G8"/>
    <mergeCell ref="C9:G9"/>
    <mergeCell ref="C33:G33"/>
    <mergeCell ref="C10:G10"/>
    <mergeCell ref="C45:G45"/>
    <mergeCell ref="C57:G57"/>
    <mergeCell ref="C58:G58"/>
    <mergeCell ref="C60:G60"/>
    <mergeCell ref="C56:G56"/>
    <mergeCell ref="C47:G47"/>
    <mergeCell ref="C49:G49"/>
    <mergeCell ref="C51:G51"/>
    <mergeCell ref="C12:G12"/>
    <mergeCell ref="C17:G17"/>
    <mergeCell ref="C24:G24"/>
    <mergeCell ref="C29:G29"/>
    <mergeCell ref="C13:G13"/>
    <mergeCell ref="C15:G15"/>
    <mergeCell ref="C18:G18"/>
    <mergeCell ref="C36:G36"/>
    <mergeCell ref="C65:G65"/>
    <mergeCell ref="C66:G66"/>
    <mergeCell ref="C55:G55"/>
    <mergeCell ref="C62:G62"/>
    <mergeCell ref="C63:G63"/>
    <mergeCell ref="C64:G64"/>
    <mergeCell ref="C52:G52"/>
    <mergeCell ref="C54:G54"/>
    <mergeCell ref="C48:G48"/>
    <mergeCell ref="C35:G35"/>
    <mergeCell ref="C27:G27"/>
    <mergeCell ref="C23:G23"/>
    <mergeCell ref="C25:G25"/>
    <mergeCell ref="C53:G53"/>
    <mergeCell ref="C38:G38"/>
    <mergeCell ref="C40:G40"/>
    <mergeCell ref="C42:G42"/>
    <mergeCell ref="C44:G44"/>
    <mergeCell ref="C31:G3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43" r:id="rId2"/>
  <rowBreaks count="2" manualBreakCount="2">
    <brk id="29" max="255" man="1"/>
    <brk id="33" max="4" man="1"/>
  </rowBreaks>
  <colBreaks count="1" manualBreakCount="1">
    <brk id="2" min="3" max="52" man="1"/>
  </colBreaks>
  <drawing r:id="rId1"/>
</worksheet>
</file>

<file path=xl/worksheets/sheet5.xml><?xml version="1.0" encoding="utf-8"?>
<worksheet xmlns="http://schemas.openxmlformats.org/spreadsheetml/2006/main" xmlns:r="http://schemas.openxmlformats.org/officeDocument/2006/relationships">
  <sheetPr codeName="Sheet1"/>
  <dimension ref="A1:AO218"/>
  <sheetViews>
    <sheetView zoomScalePageLayoutView="0" workbookViewId="0" topLeftCell="B27">
      <selection activeCell="F47" sqref="F47"/>
    </sheetView>
  </sheetViews>
  <sheetFormatPr defaultColWidth="9.140625" defaultRowHeight="12.75"/>
  <cols>
    <col min="1" max="1" width="9.140625" style="115" customWidth="1"/>
    <col min="2" max="2" width="86.28125" style="115" bestFit="1" customWidth="1"/>
    <col min="3" max="3" width="16.140625" style="115" bestFit="1" customWidth="1"/>
    <col min="4" max="4" width="15.8515625" style="115" hidden="1" customWidth="1"/>
    <col min="5" max="5" width="2.57421875" style="115" customWidth="1"/>
    <col min="6" max="6" width="20.00390625" style="115" customWidth="1"/>
    <col min="7" max="7" width="12.140625" style="115" customWidth="1"/>
    <col min="8" max="8" width="17.00390625" style="115" customWidth="1"/>
    <col min="9" max="9" width="14.421875" style="115" bestFit="1" customWidth="1"/>
    <col min="10" max="10" width="20.8515625" style="115" customWidth="1"/>
    <col min="11" max="11" width="15.28125" style="112" customWidth="1"/>
    <col min="12" max="12" width="19.00390625" style="112" bestFit="1" customWidth="1"/>
    <col min="13" max="13" width="20.00390625" style="112" customWidth="1"/>
    <col min="14" max="15" width="9.140625" style="115" customWidth="1"/>
    <col min="16" max="16" width="14.421875" style="115" bestFit="1" customWidth="1"/>
    <col min="17" max="17" width="19.8515625" style="115" customWidth="1"/>
    <col min="18" max="18" width="20.140625" style="115" customWidth="1"/>
    <col min="19" max="19" width="20.57421875" style="115" customWidth="1"/>
    <col min="20" max="20" width="19.421875" style="115" customWidth="1"/>
    <col min="21" max="21" width="18.8515625" style="115" customWidth="1"/>
    <col min="22" max="22" width="10.7109375" style="115" customWidth="1"/>
    <col min="23" max="23" width="9.140625" style="115" customWidth="1"/>
    <col min="24" max="24" width="3.28125" style="115" customWidth="1"/>
    <col min="25" max="25" width="50.421875" style="115" customWidth="1"/>
    <col min="26" max="26" width="5.57421875" style="115" customWidth="1"/>
    <col min="27" max="27" width="20.00390625" style="115" customWidth="1"/>
    <col min="28" max="28" width="5.00390625" style="115" customWidth="1"/>
    <col min="29" max="29" width="9.140625" style="115" customWidth="1"/>
    <col min="30" max="30" width="27.28125" style="115" customWidth="1"/>
    <col min="31" max="31" width="22.00390625" style="115" bestFit="1" customWidth="1"/>
    <col min="32" max="32" width="16.140625" style="115" customWidth="1"/>
    <col min="33" max="33" width="8.7109375" style="115" bestFit="1" customWidth="1"/>
    <col min="34" max="35" width="9.140625" style="115" customWidth="1"/>
    <col min="36" max="36" width="13.00390625" style="115" bestFit="1" customWidth="1"/>
    <col min="37" max="37" width="22.140625" style="115" bestFit="1" customWidth="1"/>
    <col min="38" max="16384" width="9.140625" style="115" customWidth="1"/>
  </cols>
  <sheetData>
    <row r="1" spans="1:13" ht="25.5">
      <c r="A1" s="108" t="s">
        <v>98</v>
      </c>
      <c r="B1" s="109"/>
      <c r="C1" s="109"/>
      <c r="D1" s="109"/>
      <c r="E1" s="514"/>
      <c r="F1" s="514"/>
      <c r="G1" s="110"/>
      <c r="H1" s="111"/>
      <c r="I1" s="112"/>
      <c r="J1" s="113"/>
      <c r="L1" s="114" t="s">
        <v>99</v>
      </c>
      <c r="M1"/>
    </row>
    <row r="2" spans="1:13" ht="28.5">
      <c r="A2" s="108"/>
      <c r="B2" s="109"/>
      <c r="C2" s="116">
        <f>IF(AND(C82=2,C85=0),3,IF(AND(C82=2,C85&gt;0),4,IF(AND(C82=1,C85=0),1,2)))</f>
        <v>1</v>
      </c>
      <c r="D2" s="109"/>
      <c r="E2" s="110"/>
      <c r="F2" s="110"/>
      <c r="G2" s="112"/>
      <c r="H2" s="112"/>
      <c r="I2" s="112"/>
      <c r="J2" s="112"/>
      <c r="L2" s="117" t="s">
        <v>100</v>
      </c>
      <c r="M2">
        <v>1</v>
      </c>
    </row>
    <row r="3" spans="1:13" ht="28.5">
      <c r="A3" s="108"/>
      <c r="B3" s="109"/>
      <c r="C3" s="118"/>
      <c r="D3" s="109"/>
      <c r="E3" s="109"/>
      <c r="F3" s="109"/>
      <c r="G3" s="112"/>
      <c r="H3" s="112"/>
      <c r="I3" s="112"/>
      <c r="J3" s="112"/>
      <c r="L3" s="117" t="s">
        <v>101</v>
      </c>
      <c r="M3">
        <v>0</v>
      </c>
    </row>
    <row r="4" spans="1:10" ht="12.75">
      <c r="A4" s="119"/>
      <c r="B4" s="109"/>
      <c r="C4" s="109"/>
      <c r="D4" s="109"/>
      <c r="E4" s="109"/>
      <c r="F4" s="109"/>
      <c r="G4" s="112"/>
      <c r="H4" s="112"/>
      <c r="I4" s="112"/>
      <c r="J4" s="112"/>
    </row>
    <row r="5" spans="1:18" ht="18">
      <c r="A5" s="119"/>
      <c r="B5" s="109"/>
      <c r="C5" s="109"/>
      <c r="D5" s="109"/>
      <c r="E5" s="109"/>
      <c r="F5" s="109"/>
      <c r="G5" s="112"/>
      <c r="H5" s="112"/>
      <c r="I5" s="112"/>
      <c r="J5" s="112"/>
      <c r="M5" s="120"/>
      <c r="Q5" s="121" t="s">
        <v>102</v>
      </c>
      <c r="R5" t="s">
        <v>103</v>
      </c>
    </row>
    <row r="6" spans="1:12" ht="15.75" thickBot="1">
      <c r="A6" s="119"/>
      <c r="B6" s="109"/>
      <c r="C6" s="109"/>
      <c r="D6" s="109"/>
      <c r="E6" s="109"/>
      <c r="F6" s="109"/>
      <c r="G6" s="112"/>
      <c r="H6" s="112"/>
      <c r="I6" s="112"/>
      <c r="J6" s="112"/>
      <c r="L6" s="122" t="s">
        <v>104</v>
      </c>
    </row>
    <row r="7" spans="1:34" s="127" customFormat="1" ht="18.75" customHeight="1" thickBot="1">
      <c r="A7" s="123"/>
      <c r="B7" s="123"/>
      <c r="C7" s="124"/>
      <c r="D7" s="123"/>
      <c r="E7" s="123"/>
      <c r="F7" s="125"/>
      <c r="G7" s="112"/>
      <c r="H7" s="112"/>
      <c r="I7" s="112"/>
      <c r="J7" s="112"/>
      <c r="K7" s="125"/>
      <c r="L7" s="126">
        <v>0</v>
      </c>
      <c r="M7" s="125"/>
      <c r="O7" s="115"/>
      <c r="P7" s="515" t="s">
        <v>105</v>
      </c>
      <c r="Q7" s="516"/>
      <c r="R7" s="519" t="s">
        <v>106</v>
      </c>
      <c r="S7" s="509" t="s">
        <v>107</v>
      </c>
      <c r="T7" s="509" t="s">
        <v>108</v>
      </c>
      <c r="U7" s="509" t="s">
        <v>109</v>
      </c>
      <c r="X7" s="128"/>
      <c r="Y7" s="129" t="s">
        <v>110</v>
      </c>
      <c r="Z7" s="128"/>
      <c r="AA7" s="128"/>
      <c r="AB7" s="128"/>
      <c r="AC7" s="128"/>
      <c r="AD7" s="130" t="s">
        <v>111</v>
      </c>
      <c r="AE7" s="121">
        <v>2012</v>
      </c>
      <c r="AF7"/>
      <c r="AG7"/>
      <c r="AH7" s="131"/>
    </row>
    <row r="8" spans="1:34" ht="19.5" thickBot="1" thickTop="1">
      <c r="A8" s="123"/>
      <c r="B8" s="123"/>
      <c r="C8" s="124"/>
      <c r="D8" s="123"/>
      <c r="E8" s="123"/>
      <c r="F8" s="112"/>
      <c r="G8" s="112"/>
      <c r="H8" s="112"/>
      <c r="I8" s="112"/>
      <c r="J8" s="112"/>
      <c r="L8" s="132">
        <v>1</v>
      </c>
      <c r="P8" s="517"/>
      <c r="Q8" s="518"/>
      <c r="R8" s="520"/>
      <c r="S8" s="510"/>
      <c r="T8" s="510"/>
      <c r="U8" s="510"/>
      <c r="X8" s="133"/>
      <c r="Y8" s="134"/>
      <c r="Z8" s="134"/>
      <c r="AA8" s="134"/>
      <c r="AB8" s="135"/>
      <c r="AC8" s="128"/>
      <c r="AD8"/>
      <c r="AE8" s="121"/>
      <c r="AF8"/>
      <c r="AG8"/>
      <c r="AH8" s="131"/>
    </row>
    <row r="9" spans="1:34" ht="16.5" thickBot="1">
      <c r="A9" s="123"/>
      <c r="B9" s="123"/>
      <c r="C9" s="124"/>
      <c r="D9" s="123"/>
      <c r="E9" s="123"/>
      <c r="F9" s="112"/>
      <c r="G9" s="112"/>
      <c r="H9" s="112"/>
      <c r="I9" s="112"/>
      <c r="J9" s="112"/>
      <c r="L9" s="132">
        <v>2</v>
      </c>
      <c r="P9" s="136" t="s">
        <v>112</v>
      </c>
      <c r="Q9" s="136" t="s">
        <v>113</v>
      </c>
      <c r="R9" s="521"/>
      <c r="S9" s="511"/>
      <c r="T9" s="511"/>
      <c r="U9" s="511"/>
      <c r="X9" s="137"/>
      <c r="Y9" s="138" t="s">
        <v>114</v>
      </c>
      <c r="Z9" s="139"/>
      <c r="AA9" s="140" t="s">
        <v>115</v>
      </c>
      <c r="AB9" s="141"/>
      <c r="AC9" s="128"/>
      <c r="AD9" s="142" t="s">
        <v>116</v>
      </c>
      <c r="AE9"/>
      <c r="AF9"/>
      <c r="AG9"/>
      <c r="AH9" s="131"/>
    </row>
    <row r="10" spans="1:34" ht="15.75" thickBot="1">
      <c r="A10" s="512"/>
      <c r="B10" s="512"/>
      <c r="C10" s="512"/>
      <c r="D10" s="512"/>
      <c r="E10" s="512"/>
      <c r="F10" s="512"/>
      <c r="G10" s="512"/>
      <c r="H10" s="512"/>
      <c r="I10" s="512"/>
      <c r="J10" s="143"/>
      <c r="L10" s="132">
        <v>3</v>
      </c>
      <c r="P10" s="144">
        <v>0</v>
      </c>
      <c r="Q10" s="145">
        <v>4898</v>
      </c>
      <c r="R10" s="146">
        <v>0.115</v>
      </c>
      <c r="S10" s="147">
        <v>0</v>
      </c>
      <c r="T10" s="148">
        <v>9.99999999999999E+42</v>
      </c>
      <c r="U10" s="149">
        <v>9.99999999999999E+42</v>
      </c>
      <c r="X10" s="137"/>
      <c r="Y10" s="150"/>
      <c r="Z10" s="150"/>
      <c r="AA10" s="150"/>
      <c r="AB10" s="141"/>
      <c r="AC10" s="128"/>
      <c r="AD10" s="504" t="s">
        <v>117</v>
      </c>
      <c r="AE10" s="505"/>
      <c r="AF10" s="151" t="s">
        <v>106</v>
      </c>
      <c r="AG10" s="152" t="s">
        <v>118</v>
      </c>
      <c r="AH10" s="131"/>
    </row>
    <row r="11" spans="1:34" ht="16.5" thickTop="1">
      <c r="A11" s="153"/>
      <c r="B11" s="154"/>
      <c r="C11" s="154"/>
      <c r="D11" s="154"/>
      <c r="E11" s="154"/>
      <c r="F11" s="154"/>
      <c r="G11" s="154"/>
      <c r="H11" s="154"/>
      <c r="I11" s="155"/>
      <c r="J11" s="143"/>
      <c r="L11" s="132">
        <v>4</v>
      </c>
      <c r="P11" s="156">
        <f>Q10</f>
        <v>4898</v>
      </c>
      <c r="Q11" s="157">
        <v>7410</v>
      </c>
      <c r="R11" s="158">
        <v>0.14</v>
      </c>
      <c r="S11" s="159">
        <v>122.45000000000005</v>
      </c>
      <c r="T11" s="160">
        <v>9.99999999999999E+42</v>
      </c>
      <c r="U11" s="161">
        <v>9.99999999999999E+42</v>
      </c>
      <c r="X11" s="137"/>
      <c r="Y11" s="162"/>
      <c r="Z11" s="139"/>
      <c r="AA11" s="163"/>
      <c r="AB11" s="141"/>
      <c r="AC11" s="128"/>
      <c r="AD11" s="507" t="s">
        <v>119</v>
      </c>
      <c r="AE11" s="508"/>
      <c r="AF11" s="164" t="s">
        <v>120</v>
      </c>
      <c r="AG11" s="165" t="s">
        <v>121</v>
      </c>
      <c r="AH11" s="131"/>
    </row>
    <row r="12" spans="1:34" ht="16.5" thickBot="1">
      <c r="A12" s="166"/>
      <c r="B12" s="167" t="s">
        <v>122</v>
      </c>
      <c r="C12" s="168"/>
      <c r="D12" s="169">
        <v>2012</v>
      </c>
      <c r="E12" s="170"/>
      <c r="F12" s="171">
        <v>2013</v>
      </c>
      <c r="G12" s="172"/>
      <c r="H12" s="171">
        <v>2014</v>
      </c>
      <c r="I12" s="173"/>
      <c r="J12" s="143"/>
      <c r="L12" s="132">
        <v>5</v>
      </c>
      <c r="P12" s="156">
        <f>Q11</f>
        <v>7410</v>
      </c>
      <c r="Q12" s="157">
        <v>18375</v>
      </c>
      <c r="R12" s="158">
        <v>0.245</v>
      </c>
      <c r="S12" s="159">
        <v>900.46</v>
      </c>
      <c r="T12" s="160">
        <f>1250+(1250*0.1*$C$85)</f>
        <v>1250</v>
      </c>
      <c r="U12" s="174">
        <v>100</v>
      </c>
      <c r="X12" s="137"/>
      <c r="Y12" s="175" t="s">
        <v>123</v>
      </c>
      <c r="Z12" s="139"/>
      <c r="AA12" s="176">
        <f>F21</f>
        <v>0</v>
      </c>
      <c r="AB12" s="141"/>
      <c r="AC12" s="128"/>
      <c r="AD12" s="177" t="s">
        <v>124</v>
      </c>
      <c r="AE12" s="178" t="s">
        <v>125</v>
      </c>
      <c r="AF12" s="179"/>
      <c r="AG12" s="180" t="s">
        <v>119</v>
      </c>
      <c r="AH12" s="131"/>
    </row>
    <row r="13" spans="1:33" ht="16.5" thickBot="1">
      <c r="A13" s="166"/>
      <c r="B13" s="168"/>
      <c r="C13" s="168"/>
      <c r="D13" s="168"/>
      <c r="E13" s="168"/>
      <c r="F13" s="168"/>
      <c r="G13" s="168"/>
      <c r="H13" s="168"/>
      <c r="I13" s="173"/>
      <c r="J13" s="143"/>
      <c r="P13" s="156">
        <f>Q12</f>
        <v>18375</v>
      </c>
      <c r="Q13" s="157">
        <v>42259</v>
      </c>
      <c r="R13" s="158">
        <v>0.355</v>
      </c>
      <c r="S13" s="159">
        <v>2921.81</v>
      </c>
      <c r="T13" s="160">
        <f>1200++(1200*0.1*$C$85)</f>
        <v>1200</v>
      </c>
      <c r="U13" s="174">
        <v>80</v>
      </c>
      <c r="X13" s="137"/>
      <c r="Y13" s="181" t="s">
        <v>126</v>
      </c>
      <c r="Z13" s="139"/>
      <c r="AA13" s="176">
        <f>+AA12</f>
        <v>0</v>
      </c>
      <c r="AB13" s="182"/>
      <c r="AC13" s="183"/>
      <c r="AD13" s="184">
        <v>0</v>
      </c>
      <c r="AE13" s="184">
        <v>5030.64</v>
      </c>
      <c r="AF13" s="185">
        <v>0</v>
      </c>
      <c r="AG13" s="186">
        <v>0</v>
      </c>
    </row>
    <row r="14" spans="1:33" ht="16.5" thickBot="1">
      <c r="A14" s="166"/>
      <c r="B14" s="187"/>
      <c r="C14" s="168"/>
      <c r="D14" s="188"/>
      <c r="E14" s="188"/>
      <c r="F14" s="188"/>
      <c r="G14" s="188"/>
      <c r="H14" s="188"/>
      <c r="I14" s="173"/>
      <c r="J14" s="143"/>
      <c r="P14" s="156">
        <f aca="true" t="shared" si="0" ref="P14:P19">Q13</f>
        <v>42259</v>
      </c>
      <c r="Q14" s="157">
        <v>61244</v>
      </c>
      <c r="R14" s="158">
        <v>0.38</v>
      </c>
      <c r="S14" s="159">
        <v>3978.26</v>
      </c>
      <c r="T14" s="160">
        <f>1150+(1150*0.1*$C$85)</f>
        <v>1150</v>
      </c>
      <c r="U14" s="174">
        <v>60</v>
      </c>
      <c r="X14" s="137"/>
      <c r="Y14" s="189"/>
      <c r="Z14" s="139"/>
      <c r="AA14" s="176"/>
      <c r="AB14" s="182"/>
      <c r="AC14" s="183"/>
      <c r="AD14" s="190">
        <f>12*419.22</f>
        <v>5030.64</v>
      </c>
      <c r="AE14" s="191">
        <f>18*419.22</f>
        <v>7545.960000000001</v>
      </c>
      <c r="AF14" s="192">
        <v>0.25</v>
      </c>
      <c r="AG14" s="193">
        <f>ROUND(0.25*AD14,2)</f>
        <v>1257.66</v>
      </c>
    </row>
    <row r="15" spans="1:33" ht="16.5" thickBot="1">
      <c r="A15" s="166"/>
      <c r="B15" s="194" t="s">
        <v>123</v>
      </c>
      <c r="C15" s="168"/>
      <c r="D15" s="188"/>
      <c r="E15" s="188"/>
      <c r="F15" s="188"/>
      <c r="G15" s="188"/>
      <c r="H15" s="188"/>
      <c r="I15" s="173"/>
      <c r="J15" s="143"/>
      <c r="P15" s="156">
        <f t="shared" si="0"/>
        <v>61244</v>
      </c>
      <c r="Q15" s="157">
        <v>66045</v>
      </c>
      <c r="R15" s="158">
        <v>0.415</v>
      </c>
      <c r="S15" s="159">
        <v>6121.95</v>
      </c>
      <c r="T15" s="160">
        <f>1100+(1100*0.1*$C$85)</f>
        <v>1100</v>
      </c>
      <c r="U15" s="174">
        <v>50</v>
      </c>
      <c r="X15" s="137"/>
      <c r="Y15" s="175" t="s">
        <v>127</v>
      </c>
      <c r="Z15" s="139"/>
      <c r="AA15" s="195">
        <f>F28</f>
        <v>0</v>
      </c>
      <c r="AB15" s="182"/>
      <c r="AC15" s="183"/>
      <c r="AD15" s="190">
        <f>AE14</f>
        <v>7545.960000000001</v>
      </c>
      <c r="AE15" s="191">
        <v>99999999999</v>
      </c>
      <c r="AF15" s="196">
        <v>0.5</v>
      </c>
      <c r="AG15" s="193">
        <f>ROUND((AF15-AF14)*AE14+AG14,2)</f>
        <v>3144.15</v>
      </c>
    </row>
    <row r="16" spans="1:33" ht="15.75">
      <c r="A16" s="166"/>
      <c r="B16" s="197" t="s">
        <v>128</v>
      </c>
      <c r="C16" s="168"/>
      <c r="D16" s="198" t="e">
        <f>IF(#REF!=1,IF(C83=1,#REF!,AE42),0)</f>
        <v>#REF!</v>
      </c>
      <c r="E16" s="198"/>
      <c r="F16" s="198">
        <f>I110</f>
        <v>0</v>
      </c>
      <c r="G16" s="198"/>
      <c r="H16" s="198">
        <f>J110</f>
        <v>0</v>
      </c>
      <c r="I16" s="173"/>
      <c r="J16" s="143"/>
      <c r="P16" s="156"/>
      <c r="Q16" s="157"/>
      <c r="R16" s="158"/>
      <c r="S16" s="159"/>
      <c r="T16" s="160"/>
      <c r="U16" s="174"/>
      <c r="X16" s="137"/>
      <c r="Y16" s="175"/>
      <c r="Z16" s="139"/>
      <c r="AA16" s="195"/>
      <c r="AB16" s="182"/>
      <c r="AC16" s="183"/>
      <c r="AD16" s="199"/>
      <c r="AE16" s="200"/>
      <c r="AF16" s="201"/>
      <c r="AG16" s="202"/>
    </row>
    <row r="17" spans="1:33" ht="15.75">
      <c r="A17" s="166"/>
      <c r="B17" s="197" t="s">
        <v>129</v>
      </c>
      <c r="C17" s="168"/>
      <c r="D17" s="198" t="e">
        <f>IF(#REF!=2,#REF!,0)</f>
        <v>#REF!</v>
      </c>
      <c r="E17" s="198"/>
      <c r="F17" s="198">
        <f>I134</f>
        <v>0</v>
      </c>
      <c r="G17" s="198"/>
      <c r="H17" s="198">
        <f>J134</f>
        <v>0</v>
      </c>
      <c r="I17" s="173"/>
      <c r="J17" s="143"/>
      <c r="P17" s="156"/>
      <c r="Q17" s="157"/>
      <c r="R17" s="158"/>
      <c r="S17" s="159"/>
      <c r="T17" s="160"/>
      <c r="U17" s="174"/>
      <c r="X17" s="137"/>
      <c r="Y17" s="175"/>
      <c r="Z17" s="139"/>
      <c r="AA17" s="195"/>
      <c r="AB17" s="182"/>
      <c r="AC17" s="183"/>
      <c r="AD17" s="199"/>
      <c r="AE17" s="200"/>
      <c r="AF17" s="201"/>
      <c r="AG17" s="202"/>
    </row>
    <row r="18" spans="1:29" ht="15.75">
      <c r="A18" s="166"/>
      <c r="B18" s="197" t="s">
        <v>130</v>
      </c>
      <c r="C18" s="168"/>
      <c r="D18" s="198"/>
      <c r="E18" s="198"/>
      <c r="F18" s="198"/>
      <c r="G18" s="198"/>
      <c r="H18" s="198"/>
      <c r="I18" s="173"/>
      <c r="J18" s="143"/>
      <c r="P18" s="156">
        <f>Q15</f>
        <v>66045</v>
      </c>
      <c r="Q18" s="157">
        <v>153300</v>
      </c>
      <c r="R18" s="158">
        <v>0.435</v>
      </c>
      <c r="S18" s="159">
        <v>7442.61</v>
      </c>
      <c r="T18" s="203">
        <v>0</v>
      </c>
      <c r="U18" s="174">
        <v>50</v>
      </c>
      <c r="X18" s="137"/>
      <c r="Y18" s="175"/>
      <c r="Z18" s="139"/>
      <c r="AA18" s="204"/>
      <c r="AB18" s="182"/>
      <c r="AC18" s="183"/>
    </row>
    <row r="19" spans="1:29" ht="16.5" thickBot="1">
      <c r="A19" s="166"/>
      <c r="B19" s="197" t="s">
        <v>131</v>
      </c>
      <c r="C19" s="168"/>
      <c r="D19" s="198"/>
      <c r="E19" s="198"/>
      <c r="F19" s="198">
        <f>H179</f>
        <v>0</v>
      </c>
      <c r="G19" s="198"/>
      <c r="H19" s="198">
        <f>I179</f>
        <v>0</v>
      </c>
      <c r="I19" s="173"/>
      <c r="J19" s="143"/>
      <c r="P19" s="205">
        <f t="shared" si="0"/>
        <v>153300</v>
      </c>
      <c r="Q19" s="206"/>
      <c r="R19" s="207">
        <v>0.465</v>
      </c>
      <c r="S19" s="208">
        <v>12041.72</v>
      </c>
      <c r="T19" s="209">
        <v>0</v>
      </c>
      <c r="U19" s="210">
        <v>0</v>
      </c>
      <c r="X19" s="137"/>
      <c r="Y19" s="175" t="s">
        <v>132</v>
      </c>
      <c r="Z19" s="139"/>
      <c r="AA19" s="195">
        <f>AA13+AA15</f>
        <v>0</v>
      </c>
      <c r="AB19" s="182"/>
      <c r="AC19" s="183">
        <f>AA19-F30</f>
        <v>0</v>
      </c>
    </row>
    <row r="20" spans="1:29" ht="15.75">
      <c r="A20" s="166"/>
      <c r="B20" s="197" t="s">
        <v>133</v>
      </c>
      <c r="C20" s="168"/>
      <c r="D20" s="198" t="e">
        <f>IF(#REF!=3,AF42,0)</f>
        <v>#REF!</v>
      </c>
      <c r="E20" s="198"/>
      <c r="F20" s="198"/>
      <c r="G20" s="198"/>
      <c r="H20" s="198"/>
      <c r="I20" s="173"/>
      <c r="J20" s="143"/>
      <c r="X20" s="137"/>
      <c r="Y20" s="175"/>
      <c r="Z20" s="139"/>
      <c r="AA20" s="195"/>
      <c r="AB20" s="182"/>
      <c r="AC20" s="183"/>
    </row>
    <row r="21" spans="1:33" ht="18">
      <c r="A21" s="166"/>
      <c r="B21" s="211" t="s">
        <v>126</v>
      </c>
      <c r="C21" s="168"/>
      <c r="D21" s="188" t="e">
        <f>SUBTOTAL(109,D16:D20)</f>
        <v>#REF!</v>
      </c>
      <c r="E21" s="188"/>
      <c r="F21" s="188">
        <f>SUBTOTAL(109,F16:F20)</f>
        <v>0</v>
      </c>
      <c r="G21" s="188"/>
      <c r="H21" s="188">
        <f>SUBTOTAL(109,H16:H20)</f>
        <v>0</v>
      </c>
      <c r="I21" s="173"/>
      <c r="J21" s="143"/>
      <c r="X21" s="137"/>
      <c r="Y21" s="175" t="s">
        <v>134</v>
      </c>
      <c r="Z21" s="139"/>
      <c r="AA21" s="195">
        <f>-6790*C82</f>
        <v>-6790</v>
      </c>
      <c r="AB21" s="182"/>
      <c r="AC21" s="183"/>
      <c r="AD21" s="130" t="s">
        <v>111</v>
      </c>
      <c r="AE21" s="121" t="s">
        <v>135</v>
      </c>
      <c r="AF21"/>
      <c r="AG21"/>
    </row>
    <row r="22" spans="1:33" ht="18">
      <c r="A22" s="166"/>
      <c r="B22" s="212"/>
      <c r="C22" s="168"/>
      <c r="D22" s="188"/>
      <c r="E22" s="188"/>
      <c r="F22" s="188"/>
      <c r="G22" s="188"/>
      <c r="H22" s="188"/>
      <c r="I22" s="173"/>
      <c r="J22" s="143"/>
      <c r="X22" s="137"/>
      <c r="Y22" s="175"/>
      <c r="Z22" s="139"/>
      <c r="AA22" s="195"/>
      <c r="AB22" s="182"/>
      <c r="AC22" s="183"/>
      <c r="AD22" s="130"/>
      <c r="AE22" s="121"/>
      <c r="AF22"/>
      <c r="AG22"/>
    </row>
    <row r="23" spans="1:33" ht="18.75" thickBot="1">
      <c r="A23" s="166"/>
      <c r="B23" s="194" t="s">
        <v>127</v>
      </c>
      <c r="C23" s="168"/>
      <c r="D23" s="213"/>
      <c r="E23" s="213"/>
      <c r="F23" s="213"/>
      <c r="G23" s="213"/>
      <c r="H23" s="213"/>
      <c r="I23" s="173"/>
      <c r="J23" s="143"/>
      <c r="X23" s="137"/>
      <c r="Y23" s="175" t="s">
        <v>136</v>
      </c>
      <c r="Z23" s="139"/>
      <c r="AA23" s="195">
        <f>IF(+AA19+AA21&lt;0,0,+AA19+AA21)</f>
        <v>0</v>
      </c>
      <c r="AB23" s="182"/>
      <c r="AC23" s="183"/>
      <c r="AD23" s="142" t="s">
        <v>137</v>
      </c>
      <c r="AE23" s="121"/>
      <c r="AF23"/>
      <c r="AG23"/>
    </row>
    <row r="24" spans="1:33" ht="18">
      <c r="A24" s="166"/>
      <c r="B24" s="197" t="s">
        <v>128</v>
      </c>
      <c r="C24" s="168"/>
      <c r="D24" s="198" t="e">
        <f>-IF(IF(0.11*D16&gt;$C$84*4104,0.11*D16,4104*$C$84)&gt;D16,D16,IF(0.11*D16&gt;$C$84*4104,0.11*D16,4104*$C$84))</f>
        <v>#REF!</v>
      </c>
      <c r="E24" s="198"/>
      <c r="F24" s="198">
        <f>-I112</f>
        <v>0</v>
      </c>
      <c r="G24" s="198"/>
      <c r="H24" s="198">
        <f>-J112</f>
        <v>0</v>
      </c>
      <c r="I24" s="173"/>
      <c r="J24" s="143"/>
      <c r="P24" s="513" t="s">
        <v>135</v>
      </c>
      <c r="Q24" s="513"/>
      <c r="R24" t="s">
        <v>103</v>
      </c>
      <c r="S24"/>
      <c r="X24" s="137"/>
      <c r="Y24" s="175"/>
      <c r="Z24" s="139"/>
      <c r="AA24" s="195"/>
      <c r="AB24" s="182"/>
      <c r="AC24" s="183"/>
      <c r="AD24" s="504" t="s">
        <v>117</v>
      </c>
      <c r="AE24" s="505"/>
      <c r="AF24" s="151" t="s">
        <v>106</v>
      </c>
      <c r="AG24" s="152" t="s">
        <v>118</v>
      </c>
    </row>
    <row r="25" spans="1:33" ht="16.5" thickBot="1">
      <c r="A25" s="166"/>
      <c r="B25" s="197" t="s">
        <v>129</v>
      </c>
      <c r="C25" s="168"/>
      <c r="D25" s="198" t="e">
        <f>D17*0.3</f>
        <v>#REF!</v>
      </c>
      <c r="E25" s="198"/>
      <c r="F25" s="198">
        <f>-I136</f>
        <v>0</v>
      </c>
      <c r="G25" s="198"/>
      <c r="H25" s="198">
        <f>-J136</f>
        <v>0</v>
      </c>
      <c r="I25" s="173"/>
      <c r="J25" s="143"/>
      <c r="P25"/>
      <c r="Q25"/>
      <c r="R25"/>
      <c r="S25"/>
      <c r="X25" s="137"/>
      <c r="Y25" s="175" t="s">
        <v>138</v>
      </c>
      <c r="Z25" s="139"/>
      <c r="AA25" s="195">
        <f>AA23*0.035</f>
        <v>0</v>
      </c>
      <c r="AB25" s="182"/>
      <c r="AC25" s="183"/>
      <c r="AD25" s="507" t="s">
        <v>119</v>
      </c>
      <c r="AE25" s="508"/>
      <c r="AF25" s="164" t="s">
        <v>120</v>
      </c>
      <c r="AG25" s="165" t="s">
        <v>121</v>
      </c>
    </row>
    <row r="26" spans="1:33" ht="16.5" customHeight="1" thickBot="1">
      <c r="A26" s="166"/>
      <c r="B26" s="197" t="s">
        <v>130</v>
      </c>
      <c r="C26" s="168"/>
      <c r="D26" s="198"/>
      <c r="E26" s="198"/>
      <c r="F26" s="198"/>
      <c r="G26" s="198"/>
      <c r="H26" s="198"/>
      <c r="I26" s="173"/>
      <c r="J26" s="143"/>
      <c r="P26" s="504" t="s">
        <v>105</v>
      </c>
      <c r="Q26" s="505"/>
      <c r="R26" s="151" t="s">
        <v>106</v>
      </c>
      <c r="S26" s="152" t="s">
        <v>118</v>
      </c>
      <c r="T26" s="509" t="s">
        <v>108</v>
      </c>
      <c r="U26" s="509" t="s">
        <v>109</v>
      </c>
      <c r="X26" s="137"/>
      <c r="Y26" s="175"/>
      <c r="Z26" s="139"/>
      <c r="AA26" s="195"/>
      <c r="AB26" s="182"/>
      <c r="AC26" s="183"/>
      <c r="AD26" s="177" t="s">
        <v>124</v>
      </c>
      <c r="AE26" s="178" t="s">
        <v>125</v>
      </c>
      <c r="AF26" s="179"/>
      <c r="AG26" s="180" t="s">
        <v>119</v>
      </c>
    </row>
    <row r="27" spans="1:34" ht="16.5" thickBot="1">
      <c r="A27" s="166"/>
      <c r="B27" s="197" t="s">
        <v>10</v>
      </c>
      <c r="C27" s="168"/>
      <c r="D27" s="198" t="e">
        <f>-IF(D20&lt;=4104*$C$84,D20,IF(AND(D20&gt;4104*$C$84,D20&lt;22500*$C$84),4104*$C$84,IF((4104*$C$84-(D20-22500*$C$84)*0.2)&gt;0,(4104*$C$84-(D20-22500*$C$84)*0.2),0)))</f>
        <v>#REF!</v>
      </c>
      <c r="E27" s="198"/>
      <c r="F27" s="198">
        <f>-H181</f>
        <v>0</v>
      </c>
      <c r="G27" s="198"/>
      <c r="H27" s="198">
        <f>-I181</f>
        <v>0</v>
      </c>
      <c r="I27" s="173"/>
      <c r="J27" s="143"/>
      <c r="P27" s="507" t="s">
        <v>119</v>
      </c>
      <c r="Q27" s="508"/>
      <c r="R27" s="164" t="s">
        <v>120</v>
      </c>
      <c r="S27" s="165" t="s">
        <v>121</v>
      </c>
      <c r="T27" s="510"/>
      <c r="U27" s="510"/>
      <c r="X27" s="137"/>
      <c r="Y27" s="175" t="s">
        <v>139</v>
      </c>
      <c r="Z27" s="139"/>
      <c r="AA27" s="195">
        <f>IF(AA23=0,0,-12.13*C85)</f>
        <v>0</v>
      </c>
      <c r="AB27" s="182"/>
      <c r="AC27" s="183"/>
      <c r="AD27" s="214">
        <v>1350</v>
      </c>
      <c r="AE27" s="215">
        <v>1800</v>
      </c>
      <c r="AF27" s="216">
        <v>0.035</v>
      </c>
      <c r="AG27" s="217">
        <v>0</v>
      </c>
      <c r="AH27" s="218"/>
    </row>
    <row r="28" spans="1:33" ht="16.5" thickBot="1">
      <c r="A28" s="166"/>
      <c r="B28" s="211" t="s">
        <v>140</v>
      </c>
      <c r="C28" s="168"/>
      <c r="D28" s="198" t="e">
        <f>SUBTOTAL(109,D23:D27)</f>
        <v>#REF!</v>
      </c>
      <c r="E28" s="198"/>
      <c r="F28" s="198">
        <f>SUBTOTAL(109,F23:F27)</f>
        <v>0</v>
      </c>
      <c r="G28" s="198"/>
      <c r="H28" s="198">
        <f>SUBTOTAL(109,H23:H27)</f>
        <v>0</v>
      </c>
      <c r="I28" s="173"/>
      <c r="J28" s="143"/>
      <c r="P28" s="177" t="s">
        <v>124</v>
      </c>
      <c r="Q28" s="178" t="s">
        <v>125</v>
      </c>
      <c r="R28" s="179"/>
      <c r="S28" s="180" t="s">
        <v>119</v>
      </c>
      <c r="T28" s="511"/>
      <c r="U28" s="511"/>
      <c r="X28" s="137"/>
      <c r="Y28" s="175"/>
      <c r="Z28" s="139"/>
      <c r="AA28" s="195"/>
      <c r="AB28" s="182"/>
      <c r="AC28" s="183"/>
      <c r="AD28" s="177">
        <v>1800</v>
      </c>
      <c r="AE28" s="178">
        <v>3750</v>
      </c>
      <c r="AF28" s="179">
        <v>0.16</v>
      </c>
      <c r="AG28" s="180">
        <f>ROUND(+(AF28-AF27)*AE27+AG27,2)</f>
        <v>225</v>
      </c>
    </row>
    <row r="29" spans="1:33" ht="16.5" thickBot="1">
      <c r="A29" s="166"/>
      <c r="B29" s="194"/>
      <c r="C29" s="168"/>
      <c r="D29" s="219"/>
      <c r="E29" s="220"/>
      <c r="F29" s="219"/>
      <c r="G29" s="220"/>
      <c r="H29" s="219"/>
      <c r="I29" s="173"/>
      <c r="J29" s="143"/>
      <c r="P29" s="144">
        <v>0</v>
      </c>
      <c r="Q29" s="145">
        <v>7000</v>
      </c>
      <c r="R29" s="146">
        <v>0.145</v>
      </c>
      <c r="S29" s="147">
        <v>0</v>
      </c>
      <c r="T29" s="148">
        <v>9.99999999999999E+42</v>
      </c>
      <c r="U29" s="149">
        <v>9.99999999999999E+42</v>
      </c>
      <c r="X29" s="137"/>
      <c r="Y29" s="175" t="s">
        <v>141</v>
      </c>
      <c r="Z29" s="139"/>
      <c r="AA29" s="195">
        <f>+AA25+AA27</f>
        <v>0</v>
      </c>
      <c r="AB29" s="182"/>
      <c r="AC29" s="183"/>
      <c r="AD29" s="214">
        <v>3750</v>
      </c>
      <c r="AE29" s="215">
        <v>9999999999990</v>
      </c>
      <c r="AF29" s="221">
        <v>0.1</v>
      </c>
      <c r="AG29" s="217">
        <v>0</v>
      </c>
    </row>
    <row r="30" spans="1:33" ht="16.5" thickBot="1">
      <c r="A30" s="166"/>
      <c r="B30" s="194" t="s">
        <v>132</v>
      </c>
      <c r="C30" s="168"/>
      <c r="D30" s="198" t="e">
        <f>D21+D28</f>
        <v>#REF!</v>
      </c>
      <c r="E30" s="198"/>
      <c r="F30" s="198">
        <f>F21+F28</f>
        <v>0</v>
      </c>
      <c r="G30" s="198"/>
      <c r="H30" s="198">
        <f>H21+H28</f>
        <v>0</v>
      </c>
      <c r="I30" s="173"/>
      <c r="J30" s="143"/>
      <c r="P30" s="156">
        <f>Q29</f>
        <v>7000</v>
      </c>
      <c r="Q30" s="157">
        <v>20000</v>
      </c>
      <c r="R30" s="158">
        <v>0.285</v>
      </c>
      <c r="S30" s="159">
        <f>+(R30-R29)*Q29+S29</f>
        <v>979.9999999999999</v>
      </c>
      <c r="T30" s="160">
        <f>1250+(1250*0.1*$C$85)</f>
        <v>1250</v>
      </c>
      <c r="U30" s="161">
        <v>100</v>
      </c>
      <c r="X30" s="137"/>
      <c r="Y30" s="222"/>
      <c r="Z30" s="139"/>
      <c r="AA30" s="223"/>
      <c r="AB30" s="182"/>
      <c r="AC30" s="183"/>
      <c r="AD30" s="199"/>
      <c r="AE30" s="200"/>
      <c r="AF30" s="201"/>
      <c r="AG30" s="202"/>
    </row>
    <row r="31" spans="1:33" ht="15.75" thickBot="1">
      <c r="A31" s="166"/>
      <c r="B31" s="194"/>
      <c r="C31" s="168"/>
      <c r="D31" s="224"/>
      <c r="E31" s="224"/>
      <c r="F31" s="224"/>
      <c r="G31" s="224"/>
      <c r="H31" s="224"/>
      <c r="I31" s="173"/>
      <c r="J31" s="143"/>
      <c r="P31" s="156">
        <v>20000</v>
      </c>
      <c r="Q31" s="157">
        <v>40000</v>
      </c>
      <c r="R31" s="158">
        <v>0.37</v>
      </c>
      <c r="S31" s="159">
        <f>+(R31-R30)*Q30+S30</f>
        <v>2680.0000000000005</v>
      </c>
      <c r="T31" s="160">
        <f>1000+(1000*0.1*$C$85)</f>
        <v>1000</v>
      </c>
      <c r="U31" s="174">
        <v>80</v>
      </c>
      <c r="X31" s="225"/>
      <c r="Y31" s="226"/>
      <c r="Z31" s="226"/>
      <c r="AA31" s="226"/>
      <c r="AB31" s="227"/>
      <c r="AC31" s="183"/>
      <c r="AD31" s="142" t="s">
        <v>116</v>
      </c>
      <c r="AE31"/>
      <c r="AF31"/>
      <c r="AG31"/>
    </row>
    <row r="32" spans="1:33" ht="15.75" thickTop="1">
      <c r="A32" s="166"/>
      <c r="B32" s="228" t="s">
        <v>142</v>
      </c>
      <c r="C32" s="168"/>
      <c r="D32" s="224"/>
      <c r="E32" s="224"/>
      <c r="F32" s="224"/>
      <c r="G32" s="224"/>
      <c r="H32" s="224"/>
      <c r="I32" s="173"/>
      <c r="J32" s="143"/>
      <c r="P32" s="156">
        <f>Q31</f>
        <v>40000</v>
      </c>
      <c r="Q32" s="157">
        <v>80000</v>
      </c>
      <c r="R32" s="158">
        <v>0.45</v>
      </c>
      <c r="S32" s="159">
        <f>+(R32-R31)*Q31+S31</f>
        <v>5880.000000000001</v>
      </c>
      <c r="T32" s="160">
        <f>500+(500*0.1*$C$85)</f>
        <v>500</v>
      </c>
      <c r="U32" s="174">
        <v>60</v>
      </c>
      <c r="X32" s="183"/>
      <c r="Y32" s="183"/>
      <c r="Z32" s="183"/>
      <c r="AA32" s="183"/>
      <c r="AB32" s="183"/>
      <c r="AC32" s="183"/>
      <c r="AD32" s="504" t="s">
        <v>117</v>
      </c>
      <c r="AE32" s="505"/>
      <c r="AF32" s="151" t="s">
        <v>106</v>
      </c>
      <c r="AG32" s="152" t="s">
        <v>118</v>
      </c>
    </row>
    <row r="33" spans="1:33" ht="15.75" thickBot="1">
      <c r="A33" s="166"/>
      <c r="B33" s="228" t="s">
        <v>143</v>
      </c>
      <c r="C33" s="168"/>
      <c r="D33" s="198" t="e">
        <f>IF(C82=2,#REF!/2,#REF!)</f>
        <v>#REF!</v>
      </c>
      <c r="E33" s="198"/>
      <c r="F33" s="198">
        <f>IF(C82=2,F30/2,F30)</f>
        <v>0</v>
      </c>
      <c r="G33" s="198"/>
      <c r="H33" s="198">
        <f>IF(C82=2,H30/2,H30)</f>
        <v>0</v>
      </c>
      <c r="I33" s="173"/>
      <c r="J33" s="143"/>
      <c r="P33" s="205">
        <f>Q32</f>
        <v>80000</v>
      </c>
      <c r="Q33" s="206">
        <v>99999999999</v>
      </c>
      <c r="R33" s="207">
        <v>0.48</v>
      </c>
      <c r="S33" s="208">
        <f>+(R33-R32)*Q32+S32</f>
        <v>8279.999999999998</v>
      </c>
      <c r="T33" s="229">
        <v>0</v>
      </c>
      <c r="U33" s="210">
        <v>0</v>
      </c>
      <c r="X33" s="183"/>
      <c r="Y33" s="183"/>
      <c r="Z33" s="183"/>
      <c r="AA33" s="183"/>
      <c r="AB33" s="183"/>
      <c r="AC33" s="183"/>
      <c r="AD33" s="507" t="s">
        <v>119</v>
      </c>
      <c r="AE33" s="508"/>
      <c r="AF33" s="164" t="s">
        <v>120</v>
      </c>
      <c r="AG33" s="165" t="s">
        <v>121</v>
      </c>
    </row>
    <row r="34" spans="1:33" ht="16.5" thickBot="1">
      <c r="A34" s="166"/>
      <c r="B34" s="228" t="s">
        <v>144</v>
      </c>
      <c r="C34" s="168"/>
      <c r="D34" s="230" t="e">
        <f>VLOOKUP(#REF!,P10:R19,3,TRUE)</f>
        <v>#REF!</v>
      </c>
      <c r="E34" s="230"/>
      <c r="F34" s="230">
        <f>VLOOKUP(F33,P29:S33,3,TRUE)</f>
        <v>0.145</v>
      </c>
      <c r="G34" s="230"/>
      <c r="H34" s="230">
        <f>VLOOKUP(H33,P29:S33,3,TRUE)</f>
        <v>0.145</v>
      </c>
      <c r="I34" s="173"/>
      <c r="J34" s="143"/>
      <c r="X34" s="128"/>
      <c r="Y34" s="129" t="s">
        <v>145</v>
      </c>
      <c r="Z34" s="128"/>
      <c r="AA34" s="128"/>
      <c r="AB34" s="128"/>
      <c r="AC34" s="183"/>
      <c r="AD34" s="177" t="s">
        <v>124</v>
      </c>
      <c r="AE34" s="178" t="s">
        <v>125</v>
      </c>
      <c r="AF34" s="179"/>
      <c r="AG34" s="180" t="s">
        <v>119</v>
      </c>
    </row>
    <row r="35" spans="1:33" ht="16.5" thickBot="1" thickTop="1">
      <c r="A35" s="166"/>
      <c r="B35" s="194" t="str">
        <f>"     TAXA DE "&amp;F34*100&amp;" %"</f>
        <v>     TAXA DE 14,5 %</v>
      </c>
      <c r="C35" s="168"/>
      <c r="D35" s="198">
        <f>_xlfn.IFERROR(ROUND(D34*D33,2),"")</f>
      </c>
      <c r="E35" s="198"/>
      <c r="F35" s="198">
        <f>_xlfn.IFERROR(ROUND(F34*F33,2),"")</f>
        <v>0</v>
      </c>
      <c r="G35" s="198"/>
      <c r="H35" s="198">
        <f>_xlfn.IFERROR(ROUND(H34*H33,2),"")</f>
        <v>0</v>
      </c>
      <c r="I35" s="173"/>
      <c r="J35" s="143"/>
      <c r="S35" s="218"/>
      <c r="X35" s="133"/>
      <c r="Y35" s="134"/>
      <c r="Z35" s="134"/>
      <c r="AA35" s="134"/>
      <c r="AB35" s="135"/>
      <c r="AD35" s="231">
        <v>0</v>
      </c>
      <c r="AE35" s="232">
        <v>5030.64</v>
      </c>
      <c r="AF35" s="233">
        <v>0</v>
      </c>
      <c r="AG35" s="234">
        <v>0</v>
      </c>
    </row>
    <row r="36" spans="1:33" ht="16.5" thickBot="1">
      <c r="A36" s="166"/>
      <c r="B36" s="228" t="s">
        <v>146</v>
      </c>
      <c r="C36" s="168"/>
      <c r="D36" s="198" t="e">
        <f>-VLOOKUP(#REF!,P10:S19,4,TRUE)</f>
        <v>#REF!</v>
      </c>
      <c r="E36" s="198"/>
      <c r="F36" s="198">
        <f>-VLOOKUP(F33,P29:S33,4,TRUE)</f>
        <v>0</v>
      </c>
      <c r="G36" s="198"/>
      <c r="H36" s="198">
        <f>-VLOOKUP(H33,P29:S33,4,TRUE)</f>
        <v>0</v>
      </c>
      <c r="I36" s="173"/>
      <c r="J36" s="143"/>
      <c r="X36" s="137"/>
      <c r="Y36" s="138" t="s">
        <v>114</v>
      </c>
      <c r="Z36" s="139"/>
      <c r="AA36" s="140" t="s">
        <v>115</v>
      </c>
      <c r="AB36" s="141"/>
      <c r="AD36" s="214">
        <f>12*419.22</f>
        <v>5030.64</v>
      </c>
      <c r="AE36" s="215">
        <f>18*419.22</f>
        <v>7545.960000000001</v>
      </c>
      <c r="AF36" s="216">
        <v>0.15</v>
      </c>
      <c r="AG36" s="217">
        <f>ROUND(0.15*AD36,2)</f>
        <v>754.6</v>
      </c>
    </row>
    <row r="37" spans="1:33" ht="15.75" thickBot="1">
      <c r="A37" s="166"/>
      <c r="B37" s="194"/>
      <c r="C37" s="168"/>
      <c r="D37" s="198"/>
      <c r="E37" s="198"/>
      <c r="F37" s="198"/>
      <c r="G37" s="198"/>
      <c r="H37" s="198"/>
      <c r="I37" s="173"/>
      <c r="J37" s="143"/>
      <c r="T37" s="218"/>
      <c r="X37" s="137"/>
      <c r="Y37" s="150"/>
      <c r="Z37" s="150"/>
      <c r="AA37" s="150"/>
      <c r="AB37" s="141"/>
      <c r="AD37" s="214">
        <f>AE36</f>
        <v>7545.960000000001</v>
      </c>
      <c r="AE37" s="215">
        <v>99999999999</v>
      </c>
      <c r="AF37" s="221">
        <v>0.4</v>
      </c>
      <c r="AG37" s="217">
        <f>ROUND((AF37-AF36)*AE36+AG36,2)</f>
        <v>2641.09</v>
      </c>
    </row>
    <row r="38" spans="1:28" ht="15.75">
      <c r="A38" s="166"/>
      <c r="B38" s="194" t="s">
        <v>147</v>
      </c>
      <c r="C38" s="168"/>
      <c r="D38" s="235">
        <f>_xlfn.IFERROR(ROUND((D35+D36),2),"")</f>
      </c>
      <c r="E38" s="213"/>
      <c r="F38" s="235">
        <f>_xlfn.IFERROR(ROUND((F35+F36),2),"")</f>
        <v>0</v>
      </c>
      <c r="G38" s="213"/>
      <c r="H38" s="235">
        <f>_xlfn.IFERROR(ROUND((H35+H36),2),"")</f>
        <v>0</v>
      </c>
      <c r="I38" s="173"/>
      <c r="J38" s="143"/>
      <c r="T38" s="218"/>
      <c r="X38" s="137"/>
      <c r="Y38" s="162"/>
      <c r="Z38" s="139"/>
      <c r="AA38" s="163"/>
      <c r="AB38" s="141"/>
    </row>
    <row r="39" spans="1:28" ht="15.75">
      <c r="A39" s="166"/>
      <c r="B39" s="194"/>
      <c r="C39" s="168"/>
      <c r="D39" s="198"/>
      <c r="E39" s="198"/>
      <c r="F39" s="198"/>
      <c r="G39" s="198"/>
      <c r="H39" s="198"/>
      <c r="I39" s="173"/>
      <c r="J39" s="236"/>
      <c r="T39" s="218"/>
      <c r="X39" s="137"/>
      <c r="Y39" s="175" t="s">
        <v>123</v>
      </c>
      <c r="Z39" s="139"/>
      <c r="AA39" s="176">
        <f>H21</f>
        <v>0</v>
      </c>
      <c r="AB39" s="141"/>
    </row>
    <row r="40" spans="1:32" s="131" customFormat="1" ht="15.75">
      <c r="A40" s="166"/>
      <c r="B40" s="194" t="s">
        <v>148</v>
      </c>
      <c r="C40" s="168"/>
      <c r="D40" s="235">
        <f>IF(C82=2,D38*2,D38)</f>
      </c>
      <c r="E40" s="213"/>
      <c r="F40" s="235">
        <f>IF(C82=2,F38*2,F38)</f>
        <v>0</v>
      </c>
      <c r="G40" s="213"/>
      <c r="H40" s="235">
        <f>IF(C82=2,H38*2,H38)</f>
        <v>0</v>
      </c>
      <c r="I40" s="173"/>
      <c r="J40" s="237"/>
      <c r="K40" s="238"/>
      <c r="L40" s="238"/>
      <c r="M40" s="238"/>
      <c r="X40" s="137"/>
      <c r="Y40" s="181" t="s">
        <v>126</v>
      </c>
      <c r="Z40" s="139"/>
      <c r="AA40" s="176">
        <f>+AA39</f>
        <v>0</v>
      </c>
      <c r="AB40" s="182"/>
      <c r="AD40" s="115"/>
      <c r="AE40" s="115"/>
      <c r="AF40" s="218"/>
    </row>
    <row r="41" spans="1:32" s="131" customFormat="1" ht="15.75">
      <c r="A41" s="166"/>
      <c r="B41" s="194"/>
      <c r="C41" s="168"/>
      <c r="D41" s="198"/>
      <c r="E41" s="198"/>
      <c r="F41" s="198"/>
      <c r="G41" s="198"/>
      <c r="H41" s="198"/>
      <c r="I41" s="239"/>
      <c r="J41" s="237"/>
      <c r="K41" s="238"/>
      <c r="L41" s="238"/>
      <c r="M41" s="238"/>
      <c r="X41" s="137"/>
      <c r="Y41" s="189"/>
      <c r="Z41" s="139"/>
      <c r="AA41" s="176"/>
      <c r="AB41" s="182"/>
      <c r="AD41" s="115"/>
      <c r="AE41" s="115"/>
      <c r="AF41" s="115"/>
    </row>
    <row r="42" spans="1:32" ht="15.75">
      <c r="A42" s="240"/>
      <c r="B42" s="228" t="s">
        <v>12</v>
      </c>
      <c r="C42" s="168"/>
      <c r="D42" s="198"/>
      <c r="E42" s="198"/>
      <c r="F42" s="198"/>
      <c r="G42" s="198"/>
      <c r="H42" s="198"/>
      <c r="I42" s="241"/>
      <c r="J42" s="236"/>
      <c r="X42" s="137"/>
      <c r="Y42" s="175" t="s">
        <v>127</v>
      </c>
      <c r="Z42" s="139"/>
      <c r="AA42" s="195">
        <f>H28</f>
        <v>0</v>
      </c>
      <c r="AB42" s="182"/>
      <c r="AE42" s="218"/>
      <c r="AF42" s="242"/>
    </row>
    <row r="43" spans="1:32" ht="15.75">
      <c r="A43" s="240"/>
      <c r="B43" s="243" t="s">
        <v>149</v>
      </c>
      <c r="C43" s="244"/>
      <c r="D43" s="245">
        <f>-IF(C82=2,522.5+C85*190,IF(C85=0,261.25,380+C85*190))</f>
        <v>-261.25</v>
      </c>
      <c r="E43" s="245"/>
      <c r="F43" s="213">
        <f>-H196</f>
        <v>-213.75</v>
      </c>
      <c r="G43" s="213"/>
      <c r="H43" s="213">
        <f>-I196</f>
        <v>-213.75</v>
      </c>
      <c r="I43" s="241"/>
      <c r="J43" s="236"/>
      <c r="X43" s="137"/>
      <c r="Y43" s="175"/>
      <c r="Z43" s="139"/>
      <c r="AA43" s="204"/>
      <c r="AB43" s="182"/>
      <c r="AE43" s="218"/>
      <c r="AF43" s="242"/>
    </row>
    <row r="44" spans="1:28" ht="15.75">
      <c r="A44" s="166"/>
      <c r="B44" s="243"/>
      <c r="C44" s="244"/>
      <c r="D44" s="245"/>
      <c r="E44" s="245"/>
      <c r="F44" s="213"/>
      <c r="G44" s="213"/>
      <c r="H44" s="213"/>
      <c r="I44" s="239"/>
      <c r="J44" s="236"/>
      <c r="X44" s="137"/>
      <c r="Y44" s="175" t="s">
        <v>132</v>
      </c>
      <c r="Z44" s="139"/>
      <c r="AA44" s="195">
        <f>AA40+AA42</f>
        <v>0</v>
      </c>
      <c r="AB44" s="182"/>
    </row>
    <row r="45" spans="1:28" s="131" customFormat="1" ht="15.75">
      <c r="A45" s="166"/>
      <c r="B45" s="246" t="s">
        <v>150</v>
      </c>
      <c r="C45" s="168"/>
      <c r="D45" s="247"/>
      <c r="E45" s="213"/>
      <c r="F45" s="213">
        <f>-IF(C85&gt;2,IF(H81*0.1&gt;838.44+(C85*125.77),838.44+(C85*125.77),0.1*H81),IF(H81*0.1&gt;838.44,838.44,0.1*H81))</f>
        <v>0</v>
      </c>
      <c r="G45" s="112"/>
      <c r="H45" s="213">
        <f>-IF(C85&gt;2,IF(H81*0.1&gt;838.44+(C85*125.77),838.44+(C85*125.77),0.1*H81),IF(H81*0.1&gt;838.44,838.44,0.1*H81))</f>
        <v>0</v>
      </c>
      <c r="I45" s="239"/>
      <c r="J45" s="237"/>
      <c r="K45" s="238"/>
      <c r="L45" s="238"/>
      <c r="M45" s="238"/>
      <c r="X45" s="137"/>
      <c r="Y45" s="175"/>
      <c r="Z45" s="139"/>
      <c r="AA45" s="195"/>
      <c r="AB45" s="182"/>
    </row>
    <row r="46" spans="1:28" s="131" customFormat="1" ht="15.75">
      <c r="A46" s="166"/>
      <c r="B46" s="246" t="s">
        <v>151</v>
      </c>
      <c r="C46" s="168"/>
      <c r="D46" s="247"/>
      <c r="E46" s="213"/>
      <c r="F46" s="213">
        <f>-IF(C86&gt;2,IF(H82*0.3&gt;760+(C86*142.5),760+(C86*142.5),0.3*H82),IF(H82*0.3&gt;760,760,0.3*H82))</f>
        <v>0</v>
      </c>
      <c r="G46" s="112"/>
      <c r="H46" s="213">
        <f>-IF(C86&gt;2,IF(H82*0.3&gt;760+(C86*142.5),760+(C86*142.5),0.3*H82),IF(H82*0.3&gt;760,760,0.3*H82))</f>
        <v>0</v>
      </c>
      <c r="I46" s="239"/>
      <c r="J46" s="237"/>
      <c r="K46" s="238"/>
      <c r="L46" s="238"/>
      <c r="M46" s="238"/>
      <c r="X46" s="137"/>
      <c r="Y46" s="175" t="s">
        <v>134</v>
      </c>
      <c r="Z46" s="139"/>
      <c r="AA46" s="195">
        <f>-6790*C82</f>
        <v>-6790</v>
      </c>
      <c r="AB46" s="182"/>
    </row>
    <row r="47" spans="1:28" s="131" customFormat="1" ht="15.75">
      <c r="A47" s="240"/>
      <c r="B47" s="246" t="s">
        <v>152</v>
      </c>
      <c r="C47" s="168"/>
      <c r="D47" s="247"/>
      <c r="E47" s="213"/>
      <c r="F47" s="213">
        <f>-IF(C88&lt;=2011,IF(0.15*H83&gt;VLOOKUP(F33,AJ58:AM60,3,TRUE),VLOOKUP(F33,AJ58:AM60,3,TRUE),0.15*H83),0)</f>
        <v>0</v>
      </c>
      <c r="G47" s="112"/>
      <c r="H47" s="213">
        <f>-IF(C88&lt;=2011,IF('Simular IRS 2014'!L30&lt;2011,IF(0.15*H83&gt;VLOOKUP(H33,AJ58:AO60,5,TRUE),VLOOKUP(H33,AJ58:AO60,5,TRUE),0.15*H83),0),0)</f>
        <v>0</v>
      </c>
      <c r="I47" s="248"/>
      <c r="J47" s="237"/>
      <c r="K47" s="238"/>
      <c r="L47" s="238"/>
      <c r="M47" s="238"/>
      <c r="X47" s="137"/>
      <c r="Y47" s="175"/>
      <c r="Z47" s="139"/>
      <c r="AA47" s="195"/>
      <c r="AB47" s="182"/>
    </row>
    <row r="48" spans="1:28" s="238" customFormat="1" ht="16.5" thickBot="1">
      <c r="A48" s="240"/>
      <c r="B48" s="246" t="s">
        <v>153</v>
      </c>
      <c r="C48" s="168"/>
      <c r="D48" s="249"/>
      <c r="E48" s="213"/>
      <c r="F48" s="213">
        <f>-IF(0.15*H84&gt;VLOOKUP(F33,AJ52:AO54,3),VLOOKUP(F33,AJ52:AO54,3),0.15*H84)</f>
        <v>0</v>
      </c>
      <c r="G48" s="112"/>
      <c r="H48" s="213">
        <f>-IF(0.15*H84&gt;VLOOKUP(H33,AJ52:AO54,5),VLOOKUP(H33,AJ52:AO54,5),0.15*H84)</f>
        <v>0</v>
      </c>
      <c r="I48" s="248"/>
      <c r="J48" s="237"/>
      <c r="X48" s="250"/>
      <c r="Y48" s="175"/>
      <c r="Z48" s="139"/>
      <c r="AA48" s="195"/>
      <c r="AB48" s="251"/>
    </row>
    <row r="49" spans="1:41" s="131" customFormat="1" ht="15.75">
      <c r="A49" s="240"/>
      <c r="B49" s="246" t="s">
        <v>154</v>
      </c>
      <c r="C49" s="244"/>
      <c r="D49" s="247"/>
      <c r="E49" s="213"/>
      <c r="F49" s="213">
        <f>-IF(0.2*H85&gt;419.22*12*C87,419.22*12*C87,0.2*H85)</f>
        <v>0</v>
      </c>
      <c r="G49" s="112"/>
      <c r="H49" s="213">
        <f>-IF(0.2*H85&gt;419.22*12*C87,419.22*12*C87,0.2*H85)</f>
        <v>0</v>
      </c>
      <c r="I49" s="248"/>
      <c r="J49" s="237"/>
      <c r="K49" s="238"/>
      <c r="L49" s="238"/>
      <c r="M49" s="238"/>
      <c r="X49" s="137"/>
      <c r="Y49" s="175" t="s">
        <v>136</v>
      </c>
      <c r="Z49" s="139"/>
      <c r="AA49" s="195">
        <f>IF(+AA44+AA46&lt;0,0,+AA44+AA46)</f>
        <v>0</v>
      </c>
      <c r="AB49" s="182"/>
      <c r="AJ49" s="504" t="s">
        <v>105</v>
      </c>
      <c r="AK49" s="505"/>
      <c r="AL49" s="506" t="s">
        <v>155</v>
      </c>
      <c r="AM49" s="506"/>
      <c r="AN49" s="506" t="s">
        <v>156</v>
      </c>
      <c r="AO49" s="506"/>
    </row>
    <row r="50" spans="1:41" s="131" customFormat="1" ht="15.75">
      <c r="A50" s="240"/>
      <c r="B50" s="243" t="s">
        <v>157</v>
      </c>
      <c r="C50" s="244"/>
      <c r="D50" s="245">
        <f>SUM(D45:D49)</f>
        <v>0</v>
      </c>
      <c r="E50" s="245"/>
      <c r="F50" s="213">
        <f>SUM(F45:F49)</f>
        <v>0</v>
      </c>
      <c r="G50" s="213"/>
      <c r="H50" s="213">
        <f>SUM(H45:H49)</f>
        <v>0</v>
      </c>
      <c r="I50" s="248"/>
      <c r="J50" s="237"/>
      <c r="K50" s="238"/>
      <c r="L50" s="238"/>
      <c r="M50" s="238"/>
      <c r="X50" s="137"/>
      <c r="Y50" s="175"/>
      <c r="Z50" s="139"/>
      <c r="AA50" s="195"/>
      <c r="AB50" s="182"/>
      <c r="AJ50" s="507" t="s">
        <v>119</v>
      </c>
      <c r="AK50" s="508"/>
      <c r="AL50" s="506"/>
      <c r="AM50" s="506"/>
      <c r="AN50" s="506"/>
      <c r="AO50" s="506"/>
    </row>
    <row r="51" spans="1:41" s="131" customFormat="1" ht="16.5" thickBot="1">
      <c r="A51" s="240"/>
      <c r="B51" s="243"/>
      <c r="C51" s="244"/>
      <c r="D51" s="245"/>
      <c r="E51" s="245"/>
      <c r="F51" s="213"/>
      <c r="G51" s="213"/>
      <c r="H51" s="213"/>
      <c r="I51" s="241"/>
      <c r="J51" s="237"/>
      <c r="K51" s="238"/>
      <c r="L51" s="238"/>
      <c r="M51" s="238"/>
      <c r="X51" s="137"/>
      <c r="Y51" s="175" t="s">
        <v>138</v>
      </c>
      <c r="Z51" s="139"/>
      <c r="AA51" s="195">
        <f>AA49*0.035</f>
        <v>0</v>
      </c>
      <c r="AB51" s="182"/>
      <c r="AJ51" s="177" t="s">
        <v>124</v>
      </c>
      <c r="AK51" s="178" t="s">
        <v>125</v>
      </c>
      <c r="AL51" s="506"/>
      <c r="AM51" s="506"/>
      <c r="AN51" s="506"/>
      <c r="AO51" s="506"/>
    </row>
    <row r="52" spans="1:41" s="131" customFormat="1" ht="15.75">
      <c r="A52" s="240"/>
      <c r="B52" s="243" t="s">
        <v>158</v>
      </c>
      <c r="C52" s="244"/>
      <c r="D52" s="245"/>
      <c r="E52" s="245"/>
      <c r="F52" s="213">
        <f>IF(-VLOOKUP(F33,P29:T33,5,TRUE)&lt;F50,F50,-VLOOKUP(F33,P29:T33,5,TRUE))</f>
        <v>0</v>
      </c>
      <c r="G52" s="213"/>
      <c r="H52" s="213">
        <f>IF(-VLOOKUP(H33,P29:T33,5,TRUE)&lt;H50,H50,-VLOOKUP(H33,P29:T33,5,TRUE))</f>
        <v>0</v>
      </c>
      <c r="I52" s="248"/>
      <c r="J52" s="237"/>
      <c r="K52" s="238"/>
      <c r="L52" s="238"/>
      <c r="M52" s="238"/>
      <c r="X52" s="137"/>
      <c r="Y52" s="175"/>
      <c r="Z52" s="139"/>
      <c r="AA52" s="195"/>
      <c r="AB52" s="182"/>
      <c r="AJ52" s="144">
        <v>0</v>
      </c>
      <c r="AK52" s="145">
        <v>7000</v>
      </c>
      <c r="AL52" s="502">
        <f>AL54*1.5</f>
        <v>753</v>
      </c>
      <c r="AM52" s="503"/>
      <c r="AN52" s="503">
        <f>AN54*1.5</f>
        <v>621</v>
      </c>
      <c r="AO52" s="503"/>
    </row>
    <row r="53" spans="1:41" s="131" customFormat="1" ht="15.75">
      <c r="A53" s="240"/>
      <c r="B53" s="243"/>
      <c r="C53" s="244"/>
      <c r="D53" s="245"/>
      <c r="E53" s="245"/>
      <c r="F53" s="213"/>
      <c r="G53" s="213"/>
      <c r="H53" s="213"/>
      <c r="I53" s="248"/>
      <c r="J53" s="237"/>
      <c r="K53" s="238"/>
      <c r="L53" s="238"/>
      <c r="M53" s="238"/>
      <c r="X53" s="137"/>
      <c r="Y53" s="175" t="s">
        <v>139</v>
      </c>
      <c r="Z53" s="139"/>
      <c r="AA53" s="195">
        <f>IF(AA49=0,0,-12.13*C85)</f>
        <v>0</v>
      </c>
      <c r="AB53" s="182"/>
      <c r="AJ53" s="156">
        <f>AK52</f>
        <v>7000</v>
      </c>
      <c r="AK53" s="157">
        <v>20000</v>
      </c>
      <c r="AL53" s="502">
        <f>AL54*1.2</f>
        <v>602.4</v>
      </c>
      <c r="AM53" s="503"/>
      <c r="AN53" s="503">
        <f>AN54*1.2</f>
        <v>496.79999999999995</v>
      </c>
      <c r="AO53" s="503"/>
    </row>
    <row r="54" spans="1:41" s="131" customFormat="1" ht="16.5" thickBot="1">
      <c r="A54" s="240"/>
      <c r="B54" s="246" t="s">
        <v>159</v>
      </c>
      <c r="C54" s="244"/>
      <c r="D54" s="245"/>
      <c r="E54" s="245"/>
      <c r="F54" s="213">
        <f>-IF((0.1*H86)&gt;(50*C82)+(25*C85),(50*C82)+(25*C85),(0.1*H86))</f>
        <v>0</v>
      </c>
      <c r="G54" s="112"/>
      <c r="H54" s="213">
        <f>-IF((0.1*H86)&gt;(50*C82)+(25*C85),(50*C82)+(25*C85),(0.1*H86))</f>
        <v>0</v>
      </c>
      <c r="I54" s="248"/>
      <c r="J54" s="237"/>
      <c r="K54" s="238"/>
      <c r="L54" s="238"/>
      <c r="M54" s="238"/>
      <c r="X54" s="137"/>
      <c r="Y54" s="175"/>
      <c r="Z54" s="139"/>
      <c r="AA54" s="195"/>
      <c r="AB54" s="182"/>
      <c r="AJ54" s="156">
        <v>20000</v>
      </c>
      <c r="AK54" s="157">
        <v>999999999</v>
      </c>
      <c r="AL54" s="502">
        <f>ROUNDDOWN(591*0.85,0)</f>
        <v>502</v>
      </c>
      <c r="AM54" s="503"/>
      <c r="AN54" s="502">
        <f>ROUNDUP(591*0.7,0)</f>
        <v>414</v>
      </c>
      <c r="AO54" s="503"/>
    </row>
    <row r="55" spans="1:41" s="131" customFormat="1" ht="15.75">
      <c r="A55" s="240"/>
      <c r="B55" s="246" t="s">
        <v>160</v>
      </c>
      <c r="C55" s="244"/>
      <c r="D55" s="245"/>
      <c r="E55" s="245"/>
      <c r="F55" s="213">
        <f>-IF((0.2*H88)&gt;(400),(400),(0.2*H88))-IF((0.2*H87)&gt;(400),(400),(0.2*H87))</f>
        <v>0</v>
      </c>
      <c r="G55" s="112"/>
      <c r="H55" s="213">
        <f>-IF((0.2*H88)&gt;(400),(400),(0.2*H88))-IF((0.2*H87)&gt;(400),(400),(0.2*H87))</f>
        <v>0</v>
      </c>
      <c r="I55" s="248"/>
      <c r="J55" s="237"/>
      <c r="K55" s="238"/>
      <c r="L55" s="238"/>
      <c r="M55" s="238"/>
      <c r="X55" s="137"/>
      <c r="Y55" s="175" t="s">
        <v>141</v>
      </c>
      <c r="Z55" s="139"/>
      <c r="AA55" s="195">
        <f>+AA51+AA53</f>
        <v>0</v>
      </c>
      <c r="AB55" s="182"/>
      <c r="AJ55" s="504" t="s">
        <v>105</v>
      </c>
      <c r="AK55" s="505"/>
      <c r="AL55" s="506" t="s">
        <v>161</v>
      </c>
      <c r="AM55" s="506"/>
      <c r="AN55" s="506" t="s">
        <v>161</v>
      </c>
      <c r="AO55" s="506"/>
    </row>
    <row r="56" spans="1:41" s="131" customFormat="1" ht="16.5" thickBot="1">
      <c r="A56" s="240"/>
      <c r="B56" s="246" t="s">
        <v>162</v>
      </c>
      <c r="C56" s="244"/>
      <c r="D56" s="245"/>
      <c r="E56" s="245"/>
      <c r="F56" s="213">
        <f>IF(0.25*H89*1.3&gt;0.15*F40,-0.15*F40,-0.25*H89*1.3)</f>
        <v>0</v>
      </c>
      <c r="G56" s="112"/>
      <c r="H56" s="213">
        <f>IF(0.25*H89*1.3&gt;0.15*H40,-0.15*H40,-0.25*H89*1.3)</f>
        <v>0</v>
      </c>
      <c r="I56" s="241"/>
      <c r="J56" s="237"/>
      <c r="K56" s="238"/>
      <c r="L56" s="238"/>
      <c r="M56" s="238"/>
      <c r="X56" s="137"/>
      <c r="Y56" s="222"/>
      <c r="Z56" s="139"/>
      <c r="AA56" s="223"/>
      <c r="AB56" s="182"/>
      <c r="AJ56" s="507" t="s">
        <v>119</v>
      </c>
      <c r="AK56" s="508"/>
      <c r="AL56" s="506"/>
      <c r="AM56" s="506"/>
      <c r="AN56" s="506"/>
      <c r="AO56" s="506"/>
    </row>
    <row r="57" spans="1:41" ht="15.75" thickBot="1">
      <c r="A57" s="240"/>
      <c r="B57" s="243" t="s">
        <v>163</v>
      </c>
      <c r="C57" s="244"/>
      <c r="D57" s="245"/>
      <c r="E57" s="245"/>
      <c r="F57" s="213">
        <f>SUM(F54:F56)</f>
        <v>0</v>
      </c>
      <c r="G57" s="213"/>
      <c r="H57" s="213">
        <f>SUM(H54:H56)</f>
        <v>0</v>
      </c>
      <c r="I57" s="173"/>
      <c r="J57" s="236"/>
      <c r="X57" s="225"/>
      <c r="Y57" s="226"/>
      <c r="Z57" s="226"/>
      <c r="AA57" s="226"/>
      <c r="AB57" s="227"/>
      <c r="AJ57" s="177" t="s">
        <v>124</v>
      </c>
      <c r="AK57" s="178" t="s">
        <v>125</v>
      </c>
      <c r="AL57" s="506"/>
      <c r="AM57" s="506"/>
      <c r="AN57" s="506"/>
      <c r="AO57" s="506"/>
    </row>
    <row r="58" spans="1:41" ht="15" thickTop="1">
      <c r="A58" s="240"/>
      <c r="B58" s="243"/>
      <c r="C58" s="244"/>
      <c r="D58" s="245"/>
      <c r="E58" s="245"/>
      <c r="F58" s="213"/>
      <c r="G58" s="213"/>
      <c r="H58" s="213"/>
      <c r="I58" s="173"/>
      <c r="J58" s="143"/>
      <c r="U58" s="218"/>
      <c r="AJ58" s="144">
        <v>0</v>
      </c>
      <c r="AK58" s="145">
        <v>7000</v>
      </c>
      <c r="AL58" s="500">
        <v>444</v>
      </c>
      <c r="AM58" s="501"/>
      <c r="AN58" s="501">
        <v>444</v>
      </c>
      <c r="AO58" s="501"/>
    </row>
    <row r="59" spans="1:41" ht="14.25">
      <c r="A59" s="166"/>
      <c r="B59" s="243" t="s">
        <v>158</v>
      </c>
      <c r="C59" s="244"/>
      <c r="D59" s="245"/>
      <c r="E59" s="245"/>
      <c r="F59" s="213">
        <f>IF(-VLOOKUP(F33,P29:U33,6,TRUE)&lt;F57,F57,-VLOOKUP(F33,P29:U33,6,TRUE))</f>
        <v>0</v>
      </c>
      <c r="G59" s="213"/>
      <c r="H59" s="213">
        <f>IF(-VLOOKUP(H33,P29:U33,6,TRUE)&lt;H57,H57,-VLOOKUP(H33,P29:U33,6,TRUE))</f>
        <v>0</v>
      </c>
      <c r="I59" s="173"/>
      <c r="J59" s="143"/>
      <c r="AJ59" s="156">
        <f>AK58</f>
        <v>7000</v>
      </c>
      <c r="AK59" s="157">
        <v>20000</v>
      </c>
      <c r="AL59" s="500">
        <v>355.2</v>
      </c>
      <c r="AM59" s="501"/>
      <c r="AN59" s="501">
        <v>355.2</v>
      </c>
      <c r="AO59" s="501"/>
    </row>
    <row r="60" spans="1:41" ht="14.25">
      <c r="A60" s="166"/>
      <c r="B60" s="243"/>
      <c r="C60" s="244"/>
      <c r="D60" s="245"/>
      <c r="E60" s="245"/>
      <c r="F60" s="213"/>
      <c r="G60" s="213"/>
      <c r="H60" s="213"/>
      <c r="I60" s="173"/>
      <c r="J60" s="143"/>
      <c r="AJ60" s="156">
        <v>20000</v>
      </c>
      <c r="AK60" s="157">
        <v>99999999</v>
      </c>
      <c r="AL60" s="500">
        <v>296</v>
      </c>
      <c r="AM60" s="501"/>
      <c r="AN60" s="501">
        <v>296</v>
      </c>
      <c r="AO60" s="501"/>
    </row>
    <row r="61" spans="1:25" ht="14.25">
      <c r="A61" s="166"/>
      <c r="B61" s="252" t="s">
        <v>164</v>
      </c>
      <c r="C61" s="168"/>
      <c r="D61" s="245" t="e">
        <f>IF(-(#REF!+D43)&gt;D40,-D40,#REF!+D43)</f>
        <v>#REF!</v>
      </c>
      <c r="E61" s="245"/>
      <c r="F61" s="213">
        <f>F43+F52+F59</f>
        <v>-213.75</v>
      </c>
      <c r="G61" s="213"/>
      <c r="H61" s="213">
        <f>H43+H52+H59</f>
        <v>-213.75</v>
      </c>
      <c r="I61" s="173"/>
      <c r="J61" s="143"/>
      <c r="Y61" s="131" t="s">
        <v>165</v>
      </c>
    </row>
    <row r="62" spans="1:10" ht="14.25">
      <c r="A62" s="166"/>
      <c r="B62" s="194"/>
      <c r="C62" s="168"/>
      <c r="D62" s="213"/>
      <c r="E62" s="213"/>
      <c r="F62" s="213"/>
      <c r="G62" s="213"/>
      <c r="H62" s="213"/>
      <c r="I62" s="173"/>
      <c r="J62" s="143"/>
    </row>
    <row r="63" spans="1:10" ht="15" thickBot="1">
      <c r="A63" s="166"/>
      <c r="B63" s="253" t="s">
        <v>166</v>
      </c>
      <c r="C63" s="168"/>
      <c r="D63" s="245" t="e">
        <f>D40+D61</f>
        <v>#VALUE!</v>
      </c>
      <c r="E63" s="245"/>
      <c r="F63" s="213">
        <f>IF(F40+F61&lt;0,0,F40+F61)</f>
        <v>0</v>
      </c>
      <c r="G63" s="213"/>
      <c r="H63" s="213">
        <f>IF(H40+H61&lt;0,0,H40+H61)</f>
        <v>0</v>
      </c>
      <c r="I63" s="173"/>
      <c r="J63" s="143"/>
    </row>
    <row r="64" spans="1:28" ht="15" thickBot="1">
      <c r="A64" s="166"/>
      <c r="B64" s="253"/>
      <c r="C64" s="168"/>
      <c r="D64" s="245"/>
      <c r="E64" s="245"/>
      <c r="F64" s="213"/>
      <c r="H64" s="213"/>
      <c r="I64" s="173"/>
      <c r="J64" s="143"/>
      <c r="Y64" s="495" t="s">
        <v>167</v>
      </c>
      <c r="Z64" s="496"/>
      <c r="AA64" s="254" t="s">
        <v>106</v>
      </c>
      <c r="AB64" s="255" t="s">
        <v>168</v>
      </c>
    </row>
    <row r="65" spans="1:28" ht="14.25">
      <c r="A65" s="166"/>
      <c r="B65" s="256" t="s">
        <v>169</v>
      </c>
      <c r="C65" s="168"/>
      <c r="D65" s="257" t="s">
        <v>170</v>
      </c>
      <c r="E65" s="245"/>
      <c r="F65" s="213">
        <f>AA29</f>
        <v>0</v>
      </c>
      <c r="G65" s="213"/>
      <c r="H65" s="213">
        <f>AA55</f>
        <v>0</v>
      </c>
      <c r="I65" s="173"/>
      <c r="J65" s="143"/>
      <c r="Y65" s="258">
        <v>0</v>
      </c>
      <c r="Z65" s="259">
        <v>80000</v>
      </c>
      <c r="AA65" s="260">
        <v>0</v>
      </c>
      <c r="AB65" s="255">
        <v>0</v>
      </c>
    </row>
    <row r="66" spans="1:28" ht="14.25">
      <c r="A66" s="166"/>
      <c r="B66" s="256"/>
      <c r="C66" s="168"/>
      <c r="D66" s="245"/>
      <c r="E66" s="245"/>
      <c r="F66" s="213"/>
      <c r="G66" s="213"/>
      <c r="H66" s="213"/>
      <c r="I66" s="173"/>
      <c r="J66" s="143"/>
      <c r="Y66" s="258">
        <v>80000</v>
      </c>
      <c r="Z66" s="259">
        <v>250000</v>
      </c>
      <c r="AA66" s="260">
        <v>0.025</v>
      </c>
      <c r="AB66" s="255">
        <v>2000</v>
      </c>
    </row>
    <row r="67" spans="1:28" ht="14.25">
      <c r="A67" s="166"/>
      <c r="B67" s="256" t="s">
        <v>171</v>
      </c>
      <c r="C67" s="168"/>
      <c r="D67" s="245" t="e">
        <f>IF(D33&gt;P19,IF(C82=2,(D33-P19)*0.025*2,(D33-P19)*0.025),0)</f>
        <v>#REF!</v>
      </c>
      <c r="E67" s="245"/>
      <c r="F67" s="213">
        <f>IF(C82=1,((VLOOKUP(F33,Y65:AB67,3,TRUE)*F33)-VLOOKUP(F33,Y65:AB67,4,TRUE)),(((VLOOKUP(F33,Y65:AB67,3,TRUE)*F33)-VLOOKUP(F33,Y65:AB67,4,TRUE))*2))</f>
        <v>0</v>
      </c>
      <c r="G67" s="213"/>
      <c r="H67" s="213">
        <f>IF(C82=1,((VLOOKUP(H33,Y65:AB67,3,TRUE)*H33)-VLOOKUP(H33,Y65:AB67,4,TRUE)),(((VLOOKUP(H33,Y65:AB67,3,TRUE)*H33)-VLOOKUP(H33,Y65:AB67,4,TRUE))*2))</f>
        <v>0</v>
      </c>
      <c r="I67" s="173"/>
      <c r="J67" s="143"/>
      <c r="Y67" s="261">
        <v>250000</v>
      </c>
      <c r="Z67" s="262">
        <v>99999999999999900</v>
      </c>
      <c r="AA67" s="263">
        <v>0.05</v>
      </c>
      <c r="AB67" s="255">
        <v>8250</v>
      </c>
    </row>
    <row r="68" spans="1:10" ht="14.25">
      <c r="A68" s="166"/>
      <c r="B68" s="264"/>
      <c r="C68" s="239"/>
      <c r="D68" s="213"/>
      <c r="E68" s="213"/>
      <c r="F68" s="213"/>
      <c r="G68" s="213"/>
      <c r="H68" s="213"/>
      <c r="I68" s="265"/>
      <c r="J68" s="143"/>
    </row>
    <row r="69" spans="1:25" ht="14.25">
      <c r="A69" s="166"/>
      <c r="B69" s="266" t="s">
        <v>172</v>
      </c>
      <c r="C69" s="239"/>
      <c r="D69" s="220"/>
      <c r="E69" s="220"/>
      <c r="F69" s="220"/>
      <c r="G69" s="220"/>
      <c r="H69" s="220"/>
      <c r="I69" s="265"/>
      <c r="J69" s="143"/>
      <c r="Y69" s="131"/>
    </row>
    <row r="70" spans="1:10" ht="15" thickBot="1">
      <c r="A70" s="166"/>
      <c r="B70" s="267" t="str">
        <f>_xlfn.IFERROR(IF((D63+#REF!+-#REF!+#REF!)&gt;=0,"IMPOSTO A PAGAR","REEMBOLSO"),"IMPOSTO A PAGAR")</f>
        <v>IMPOSTO A PAGAR</v>
      </c>
      <c r="C70" s="239"/>
      <c r="D70" s="268" t="e">
        <f>D63+D67</f>
        <v>#VALUE!</v>
      </c>
      <c r="E70" s="245"/>
      <c r="F70" s="269">
        <f>F63+F65+F67</f>
        <v>0</v>
      </c>
      <c r="G70" s="213"/>
      <c r="H70" s="269">
        <f>H63+H65+H67</f>
        <v>0</v>
      </c>
      <c r="I70" s="265"/>
      <c r="J70" s="143"/>
    </row>
    <row r="71" spans="1:28" ht="14.25">
      <c r="A71" s="166"/>
      <c r="B71" s="270"/>
      <c r="C71" s="239"/>
      <c r="D71" s="245"/>
      <c r="E71" s="245"/>
      <c r="F71" s="245"/>
      <c r="G71" s="245"/>
      <c r="H71" s="245"/>
      <c r="I71" s="271"/>
      <c r="Y71" s="497"/>
      <c r="Z71" s="497"/>
      <c r="AA71" s="272"/>
      <c r="AB71" s="127"/>
    </row>
    <row r="72" spans="1:28" ht="14.25">
      <c r="A72" s="166"/>
      <c r="B72" s="273" t="s">
        <v>173</v>
      </c>
      <c r="C72" s="127"/>
      <c r="D72" s="274" t="e">
        <f>(D40+D67)/D21</f>
        <v>#VALUE!</v>
      </c>
      <c r="E72" s="274"/>
      <c r="F72" s="274" t="e">
        <f>(F40+F65+F67)/F21</f>
        <v>#DIV/0!</v>
      </c>
      <c r="G72" s="274"/>
      <c r="H72" s="274" t="e">
        <f>(H40+H65+H67)/H21</f>
        <v>#DIV/0!</v>
      </c>
      <c r="I72" s="271"/>
      <c r="Y72" s="275"/>
      <c r="Z72" s="276"/>
      <c r="AA72" s="277"/>
      <c r="AB72" s="127"/>
    </row>
    <row r="73" spans="1:28" ht="14.25">
      <c r="A73" s="166"/>
      <c r="B73" s="273" t="s">
        <v>174</v>
      </c>
      <c r="C73" s="239"/>
      <c r="D73" s="274" t="e">
        <f>D70/D21</f>
        <v>#VALUE!</v>
      </c>
      <c r="E73" s="274"/>
      <c r="F73" s="274" t="e">
        <f>F70/F21</f>
        <v>#DIV/0!</v>
      </c>
      <c r="G73" s="274"/>
      <c r="H73" s="274" t="e">
        <f>H70/H21</f>
        <v>#DIV/0!</v>
      </c>
      <c r="I73" s="271"/>
      <c r="Y73" s="275"/>
      <c r="Z73" s="278"/>
      <c r="AA73" s="277"/>
      <c r="AB73" s="127"/>
    </row>
    <row r="74" spans="1:28" ht="15" thickBot="1">
      <c r="A74" s="127"/>
      <c r="B74" s="237" t="s">
        <v>175</v>
      </c>
      <c r="C74" s="279"/>
      <c r="D74" s="280"/>
      <c r="E74" s="280"/>
      <c r="F74" s="281">
        <f>G186</f>
        <v>0</v>
      </c>
      <c r="G74" s="280"/>
      <c r="H74" s="281">
        <f>G189</f>
        <v>0</v>
      </c>
      <c r="I74" s="271"/>
      <c r="Y74" s="278"/>
      <c r="Z74" s="278"/>
      <c r="AA74" s="282"/>
      <c r="AB74" s="127"/>
    </row>
    <row r="75" spans="2:9" ht="15.75" thickBot="1" thickTop="1">
      <c r="B75" s="283" t="s">
        <v>176</v>
      </c>
      <c r="C75" s="284"/>
      <c r="D75" s="268" t="e">
        <f>D21-D70</f>
        <v>#REF!</v>
      </c>
      <c r="E75" s="284"/>
      <c r="F75" s="281">
        <f>F21-F70-F74</f>
        <v>0</v>
      </c>
      <c r="G75" s="281"/>
      <c r="H75" s="281">
        <f>H21-H70-H74</f>
        <v>0</v>
      </c>
      <c r="I75" s="285"/>
    </row>
    <row r="76" ht="13.5" thickTop="1"/>
    <row r="79" spans="6:13" ht="12.75">
      <c r="F79" s="131" t="s">
        <v>177</v>
      </c>
      <c r="J79" s="131" t="s">
        <v>178</v>
      </c>
      <c r="K79" s="115"/>
      <c r="L79" s="131" t="s">
        <v>179</v>
      </c>
      <c r="M79" s="131" t="s">
        <v>180</v>
      </c>
    </row>
    <row r="80" spans="11:13" ht="12.75">
      <c r="K80" s="115"/>
      <c r="L80" s="115"/>
      <c r="M80" s="115"/>
    </row>
    <row r="81" spans="3:13" ht="14.25">
      <c r="C81" s="115" t="s">
        <v>259</v>
      </c>
      <c r="F81" s="498" t="s">
        <v>57</v>
      </c>
      <c r="G81" s="499"/>
      <c r="H81" s="286">
        <f>'Simular IRS 2014'!G24</f>
        <v>0</v>
      </c>
      <c r="I81" s="287"/>
      <c r="J81" s="498" t="s">
        <v>181</v>
      </c>
      <c r="K81" s="499"/>
      <c r="L81" s="286">
        <f>'Simular IRS 2014'!F14</f>
        <v>0</v>
      </c>
      <c r="M81" s="286">
        <f>'Simular IRS 2014'!I14</f>
        <v>0</v>
      </c>
    </row>
    <row r="82" spans="2:13" ht="14.25">
      <c r="B82" s="288" t="s">
        <v>182</v>
      </c>
      <c r="C82" s="289">
        <f>IF(C81="Casado / Unido de facto",2,1)</f>
        <v>1</v>
      </c>
      <c r="D82" s="287"/>
      <c r="F82" s="498" t="s">
        <v>14</v>
      </c>
      <c r="G82" s="499"/>
      <c r="H82" s="286">
        <f>'Simular IRS 2014'!G26</f>
        <v>0</v>
      </c>
      <c r="I82" s="111"/>
      <c r="J82" s="498"/>
      <c r="K82" s="499"/>
      <c r="M82" s="115"/>
    </row>
    <row r="83" spans="2:13" ht="14.25">
      <c r="B83" s="290" t="s">
        <v>183</v>
      </c>
      <c r="C83" s="291" t="s">
        <v>184</v>
      </c>
      <c r="D83" s="112"/>
      <c r="E83" s="112"/>
      <c r="F83" s="292" t="s">
        <v>185</v>
      </c>
      <c r="G83" s="292"/>
      <c r="H83" s="286">
        <f>'Simular IRS 2014'!G31</f>
        <v>0</v>
      </c>
      <c r="I83" s="111"/>
      <c r="J83" s="292" t="s">
        <v>186</v>
      </c>
      <c r="K83" s="292"/>
      <c r="L83" s="286">
        <f>'Simular IRS 2014'!F16</f>
        <v>0</v>
      </c>
      <c r="M83" s="286">
        <f>'Simular IRS 2014'!I16</f>
        <v>0</v>
      </c>
    </row>
    <row r="84" spans="2:16" ht="14.25">
      <c r="B84" s="290" t="s">
        <v>187</v>
      </c>
      <c r="C84" s="291" t="s">
        <v>184</v>
      </c>
      <c r="D84" s="112"/>
      <c r="E84" s="112"/>
      <c r="F84" s="292" t="s">
        <v>188</v>
      </c>
      <c r="G84" s="292"/>
      <c r="H84" s="286">
        <f>'Simular IRS 2014'!G33</f>
        <v>0</v>
      </c>
      <c r="I84" s="111"/>
      <c r="J84" s="292"/>
      <c r="K84" s="292"/>
      <c r="M84" s="115"/>
      <c r="O84" s="292"/>
      <c r="P84" s="292"/>
    </row>
    <row r="85" spans="2:13" ht="14.25">
      <c r="B85" s="290" t="s">
        <v>189</v>
      </c>
      <c r="C85" s="291">
        <f>C83+C84</f>
        <v>0</v>
      </c>
      <c r="D85" s="111"/>
      <c r="E85" s="112"/>
      <c r="F85" s="292" t="s">
        <v>190</v>
      </c>
      <c r="G85" s="292"/>
      <c r="H85" s="286">
        <f>'Simular IRS 2014'!G35</f>
        <v>0</v>
      </c>
      <c r="J85" s="292" t="s">
        <v>191</v>
      </c>
      <c r="K85" s="292"/>
      <c r="L85" s="286"/>
      <c r="M85" s="286"/>
    </row>
    <row r="86" spans="2:13" ht="14.25">
      <c r="B86" s="290" t="s">
        <v>192</v>
      </c>
      <c r="C86" s="291">
        <f>'Simular IRS 2014'!G27</f>
        <v>0</v>
      </c>
      <c r="F86" s="292" t="s">
        <v>20</v>
      </c>
      <c r="G86" s="292"/>
      <c r="H86" s="286">
        <f>'Simular IRS 2014'!G39</f>
        <v>0</v>
      </c>
      <c r="I86" s="120"/>
      <c r="J86" s="292"/>
      <c r="K86" s="292"/>
      <c r="M86" s="115"/>
    </row>
    <row r="87" spans="2:13" ht="14.25">
      <c r="B87" s="290" t="s">
        <v>193</v>
      </c>
      <c r="C87" s="291">
        <f>'Simular IRS 2014'!G36</f>
        <v>0</v>
      </c>
      <c r="F87" s="292" t="s">
        <v>194</v>
      </c>
      <c r="G87" s="292"/>
      <c r="H87" s="286">
        <f>'Simular IRS 2014'!G42</f>
        <v>0</v>
      </c>
      <c r="I87" s="111"/>
      <c r="J87" s="292" t="s">
        <v>195</v>
      </c>
      <c r="K87" s="292"/>
      <c r="L87" s="286"/>
      <c r="M87" s="286"/>
    </row>
    <row r="88" spans="2:13" ht="14.25">
      <c r="B88" s="290" t="s">
        <v>264</v>
      </c>
      <c r="C88" s="291">
        <f>'Simular IRS 2014'!G30</f>
        <v>0</v>
      </c>
      <c r="F88" s="292" t="s">
        <v>196</v>
      </c>
      <c r="G88" s="292"/>
      <c r="H88" s="286">
        <f>'Simular IRS 2014'!G43</f>
        <v>0</v>
      </c>
      <c r="I88" s="123"/>
      <c r="J88" s="292"/>
      <c r="K88" s="292"/>
      <c r="M88" s="115"/>
    </row>
    <row r="89" spans="6:13" ht="14.25">
      <c r="F89" s="292" t="s">
        <v>197</v>
      </c>
      <c r="G89" s="292"/>
      <c r="H89" s="286">
        <f>'Simular IRS 2014'!G45</f>
        <v>0</v>
      </c>
      <c r="I89" s="123"/>
      <c r="J89" s="292" t="s">
        <v>198</v>
      </c>
      <c r="K89" s="292"/>
      <c r="L89" s="286"/>
      <c r="M89" s="286"/>
    </row>
    <row r="90" spans="6:13" ht="14.25" customHeight="1">
      <c r="F90" s="292"/>
      <c r="G90" s="292"/>
      <c r="H90" s="293"/>
      <c r="I90" s="123"/>
      <c r="J90" s="292"/>
      <c r="K90" s="292"/>
      <c r="M90" s="115"/>
    </row>
    <row r="91" spans="6:16" ht="14.25">
      <c r="F91" s="294"/>
      <c r="G91" s="294"/>
      <c r="H91" s="293"/>
      <c r="I91" s="123"/>
      <c r="J91" s="292" t="s">
        <v>199</v>
      </c>
      <c r="L91" s="286">
        <f>'Simular IRS 2014'!F19</f>
        <v>0</v>
      </c>
      <c r="M91" s="286">
        <f>'Simular IRS 2014'!I19</f>
        <v>0</v>
      </c>
      <c r="N91" s="294"/>
      <c r="O91" s="294"/>
      <c r="P91" s="295"/>
    </row>
    <row r="92" spans="10:16" ht="14.25">
      <c r="J92" s="292"/>
      <c r="M92" s="115"/>
      <c r="N92" s="294"/>
      <c r="O92" s="294"/>
      <c r="P92" s="295"/>
    </row>
    <row r="93" spans="10:16" ht="14.25">
      <c r="J93" s="292" t="s">
        <v>200</v>
      </c>
      <c r="L93" s="286"/>
      <c r="M93" s="286"/>
      <c r="N93" s="294"/>
      <c r="O93" s="294"/>
      <c r="P93" s="295"/>
    </row>
    <row r="94" spans="10:16" ht="15" thickBot="1">
      <c r="J94" s="292"/>
      <c r="M94" s="115"/>
      <c r="N94" s="294"/>
      <c r="O94" s="294"/>
      <c r="P94" s="295"/>
    </row>
    <row r="95" spans="3:13" ht="13.5" thickBot="1">
      <c r="C95" s="490" t="s">
        <v>178</v>
      </c>
      <c r="D95" s="491"/>
      <c r="E95" s="492"/>
      <c r="F95" s="296"/>
      <c r="G95" s="296"/>
      <c r="H95" s="296"/>
      <c r="I95" s="297"/>
      <c r="K95" s="115"/>
      <c r="L95" s="115"/>
      <c r="M95" s="115"/>
    </row>
    <row r="96" spans="3:13" ht="12.75">
      <c r="C96" s="297"/>
      <c r="D96" s="297"/>
      <c r="E96" s="297"/>
      <c r="F96" s="297"/>
      <c r="G96" s="297"/>
      <c r="H96" s="297"/>
      <c r="I96" s="296"/>
      <c r="K96" s="115"/>
      <c r="L96" s="115"/>
      <c r="M96" s="115"/>
    </row>
    <row r="97" spans="3:13" ht="12.75">
      <c r="C97" s="493" t="s">
        <v>201</v>
      </c>
      <c r="D97" s="494"/>
      <c r="E97" s="494"/>
      <c r="F97" s="494"/>
      <c r="G97" s="298"/>
      <c r="H97" s="298"/>
      <c r="I97" s="298"/>
      <c r="J97" s="297"/>
      <c r="K97" s="297"/>
      <c r="L97" s="297"/>
      <c r="M97" s="297"/>
    </row>
    <row r="98" spans="3:13" ht="12.75">
      <c r="C98" s="297"/>
      <c r="D98" s="297"/>
      <c r="E98" s="298"/>
      <c r="F98" s="299"/>
      <c r="G98" s="298"/>
      <c r="H98" s="298"/>
      <c r="I98" s="300">
        <v>2013</v>
      </c>
      <c r="J98" s="301">
        <v>2014</v>
      </c>
      <c r="M98" s="297"/>
    </row>
    <row r="99" spans="3:13" ht="13.5" thickBot="1">
      <c r="C99" s="297"/>
      <c r="D99" s="297"/>
      <c r="E99" s="298"/>
      <c r="F99" s="298"/>
      <c r="G99" s="298"/>
      <c r="H99" s="298"/>
      <c r="I99" s="297"/>
      <c r="J99" s="297"/>
      <c r="M99" s="297"/>
    </row>
    <row r="100" spans="3:13" ht="12.75" customHeight="1">
      <c r="C100" s="481" t="s">
        <v>179</v>
      </c>
      <c r="D100" s="297"/>
      <c r="E100" s="297" t="s">
        <v>202</v>
      </c>
      <c r="F100" s="297"/>
      <c r="G100" s="297"/>
      <c r="H100" s="297"/>
      <c r="I100" s="302">
        <f>L81</f>
        <v>0</v>
      </c>
      <c r="J100" s="302">
        <f>I100</f>
        <v>0</v>
      </c>
      <c r="M100" s="297"/>
    </row>
    <row r="101" spans="3:13" ht="12.75">
      <c r="C101" s="482"/>
      <c r="D101" s="297"/>
      <c r="E101" s="297" t="s">
        <v>203</v>
      </c>
      <c r="F101" s="297"/>
      <c r="G101" s="297"/>
      <c r="H101" s="297"/>
      <c r="I101" s="302">
        <f>I100*0.11</f>
        <v>0</v>
      </c>
      <c r="J101" s="302">
        <f>0.11*J100</f>
        <v>0</v>
      </c>
      <c r="M101" s="297"/>
    </row>
    <row r="102" spans="3:13" ht="12.75">
      <c r="C102" s="482"/>
      <c r="D102" s="297"/>
      <c r="E102" s="297" t="s">
        <v>204</v>
      </c>
      <c r="F102" s="297"/>
      <c r="G102" s="297"/>
      <c r="H102" s="297"/>
      <c r="I102" s="302">
        <v>4104</v>
      </c>
      <c r="J102" s="302">
        <v>4104</v>
      </c>
      <c r="M102" s="297"/>
    </row>
    <row r="103" spans="3:13" ht="13.5" thickBot="1">
      <c r="C103" s="483"/>
      <c r="D103" s="297"/>
      <c r="E103" s="297" t="s">
        <v>205</v>
      </c>
      <c r="F103" s="297"/>
      <c r="G103" s="297"/>
      <c r="H103" s="297"/>
      <c r="I103" s="302">
        <f>IF(I100&gt;=I102,IF(I101=0,I102,IF(I101&gt;I102,I101,I102)),I100)</f>
        <v>0</v>
      </c>
      <c r="J103" s="302">
        <f>IF(J100&gt;=J102,IF(J101=0,J102,IF(J101&gt;J102,J101,J102)),J100)</f>
        <v>0</v>
      </c>
      <c r="M103" s="297"/>
    </row>
    <row r="104" spans="3:13" ht="13.5" thickBot="1">
      <c r="C104" s="297"/>
      <c r="D104" s="297"/>
      <c r="E104" s="298"/>
      <c r="F104" s="298"/>
      <c r="G104" s="298"/>
      <c r="H104" s="298"/>
      <c r="I104" s="297"/>
      <c r="J104" s="297"/>
      <c r="M104" s="297"/>
    </row>
    <row r="105" spans="3:13" ht="12.75" customHeight="1">
      <c r="C105" s="481" t="s">
        <v>180</v>
      </c>
      <c r="D105" s="297"/>
      <c r="E105" s="297" t="s">
        <v>206</v>
      </c>
      <c r="F105" s="297"/>
      <c r="G105" s="297"/>
      <c r="H105" s="297"/>
      <c r="I105" s="302">
        <f>M81</f>
        <v>0</v>
      </c>
      <c r="J105" s="302">
        <f>I105</f>
        <v>0</v>
      </c>
      <c r="M105" s="303"/>
    </row>
    <row r="106" spans="3:13" ht="12.75" customHeight="1">
      <c r="C106" s="482"/>
      <c r="D106" s="297"/>
      <c r="E106" s="297" t="s">
        <v>203</v>
      </c>
      <c r="F106" s="297"/>
      <c r="G106" s="297"/>
      <c r="H106" s="297"/>
      <c r="I106" s="302">
        <f>I105*0.11</f>
        <v>0</v>
      </c>
      <c r="J106" s="302">
        <f>J105*0.11</f>
        <v>0</v>
      </c>
      <c r="M106" s="303"/>
    </row>
    <row r="107" spans="3:13" ht="12.75">
      <c r="C107" s="482"/>
      <c r="D107" s="297"/>
      <c r="E107" s="297" t="s">
        <v>204</v>
      </c>
      <c r="F107" s="297"/>
      <c r="G107" s="297"/>
      <c r="H107" s="297"/>
      <c r="I107" s="302">
        <v>4104</v>
      </c>
      <c r="J107" s="302">
        <v>4104</v>
      </c>
      <c r="M107" s="303"/>
    </row>
    <row r="108" spans="3:13" ht="13.5" customHeight="1" thickBot="1">
      <c r="C108" s="483"/>
      <c r="D108" s="297"/>
      <c r="E108" s="297" t="s">
        <v>205</v>
      </c>
      <c r="F108" s="297"/>
      <c r="G108" s="297"/>
      <c r="H108" s="297"/>
      <c r="I108" s="302">
        <f>IF(I105&gt;=I107,IF(I106=0,I107,IF(I106&gt;I107,I106,I107)),I105)</f>
        <v>0</v>
      </c>
      <c r="J108" s="302">
        <f>IF(J105&gt;=J107,IF(J106=0,J107,IF(J106&gt;J107,J106,J107)),J105)</f>
        <v>0</v>
      </c>
      <c r="M108" s="303"/>
    </row>
    <row r="109" spans="3:13" ht="13.5" customHeight="1">
      <c r="C109" s="297"/>
      <c r="D109" s="297"/>
      <c r="E109" s="298"/>
      <c r="F109" s="299"/>
      <c r="G109" s="298"/>
      <c r="H109" s="297"/>
      <c r="I109" s="297"/>
      <c r="J109" s="297"/>
      <c r="M109" s="303"/>
    </row>
    <row r="110" spans="3:13" ht="12.75">
      <c r="C110" s="304" t="s">
        <v>207</v>
      </c>
      <c r="D110" s="304"/>
      <c r="E110" s="305" t="s">
        <v>208</v>
      </c>
      <c r="F110" s="304"/>
      <c r="G110" s="304"/>
      <c r="H110" s="304"/>
      <c r="I110" s="306">
        <f>I100+I105</f>
        <v>0</v>
      </c>
      <c r="J110" s="306">
        <f>J100+J105</f>
        <v>0</v>
      </c>
      <c r="M110" s="303"/>
    </row>
    <row r="111" spans="3:13" ht="12.75">
      <c r="C111" s="304"/>
      <c r="D111" s="304"/>
      <c r="E111" s="305"/>
      <c r="F111" s="304"/>
      <c r="G111" s="304"/>
      <c r="H111" s="304"/>
      <c r="I111" s="307"/>
      <c r="J111" s="304"/>
      <c r="M111" s="303"/>
    </row>
    <row r="112" spans="3:13" ht="12.75">
      <c r="C112" s="304" t="s">
        <v>207</v>
      </c>
      <c r="D112" s="304"/>
      <c r="E112" s="305" t="s">
        <v>209</v>
      </c>
      <c r="F112" s="304"/>
      <c r="G112" s="304"/>
      <c r="H112" s="304"/>
      <c r="I112" s="306">
        <f>I103+I108</f>
        <v>0</v>
      </c>
      <c r="J112" s="306">
        <f>J103+J108</f>
        <v>0</v>
      </c>
      <c r="M112" s="303"/>
    </row>
    <row r="113" spans="3:13" ht="12.75">
      <c r="C113" s="297"/>
      <c r="D113" s="297"/>
      <c r="E113" s="298"/>
      <c r="F113" s="297"/>
      <c r="G113" s="297"/>
      <c r="H113" s="297"/>
      <c r="I113" s="297"/>
      <c r="J113" s="297"/>
      <c r="K113" s="308"/>
      <c r="L113" s="297"/>
      <c r="M113" s="303"/>
    </row>
    <row r="114" spans="3:13" ht="12.75">
      <c r="C114" s="297"/>
      <c r="D114" s="297"/>
      <c r="E114" s="298"/>
      <c r="F114" s="297"/>
      <c r="G114" s="297"/>
      <c r="H114" s="297"/>
      <c r="I114" s="297"/>
      <c r="J114" s="297"/>
      <c r="K114" s="308"/>
      <c r="L114" s="297"/>
      <c r="M114" s="297"/>
    </row>
    <row r="115" spans="10:13" ht="12.75">
      <c r="J115" s="297"/>
      <c r="K115" s="308"/>
      <c r="L115" s="297"/>
      <c r="M115" s="297"/>
    </row>
    <row r="116" spans="3:13" ht="12.75">
      <c r="C116" s="493" t="s">
        <v>210</v>
      </c>
      <c r="D116" s="494"/>
      <c r="E116" s="494"/>
      <c r="F116" s="494"/>
      <c r="G116" s="298"/>
      <c r="H116" s="298"/>
      <c r="I116" s="298"/>
      <c r="J116" s="297"/>
      <c r="K116" s="297"/>
      <c r="L116" s="297"/>
      <c r="M116" s="115"/>
    </row>
    <row r="117" spans="3:13" ht="12.75">
      <c r="C117" s="297"/>
      <c r="D117" s="297"/>
      <c r="E117" s="298"/>
      <c r="F117" s="299"/>
      <c r="G117" s="298"/>
      <c r="H117" s="297"/>
      <c r="I117" s="300">
        <v>2013</v>
      </c>
      <c r="J117" s="309">
        <v>2014</v>
      </c>
      <c r="K117" s="115"/>
      <c r="L117" s="115"/>
      <c r="M117" s="115"/>
    </row>
    <row r="118" spans="3:21" ht="13.5" thickBot="1">
      <c r="C118" s="297"/>
      <c r="D118" s="297"/>
      <c r="E118" s="298"/>
      <c r="F118" s="298"/>
      <c r="G118" s="298"/>
      <c r="H118" s="297"/>
      <c r="I118" s="297"/>
      <c r="J118" s="297"/>
      <c r="K118" s="115"/>
      <c r="L118" s="115"/>
      <c r="M118" s="115"/>
      <c r="P118" s="305"/>
      <c r="Q118" s="304"/>
      <c r="R118" s="304"/>
      <c r="S118" s="304"/>
      <c r="T118" s="307"/>
      <c r="U118" s="304"/>
    </row>
    <row r="119" spans="3:21" ht="12.75">
      <c r="C119" s="481" t="s">
        <v>179</v>
      </c>
      <c r="D119" s="297"/>
      <c r="E119" s="297" t="s">
        <v>211</v>
      </c>
      <c r="F119" s="297"/>
      <c r="G119" s="297"/>
      <c r="H119" s="310" t="s">
        <v>212</v>
      </c>
      <c r="I119" s="302">
        <f>L83</f>
        <v>0</v>
      </c>
      <c r="J119" s="311">
        <f>L83</f>
        <v>0</v>
      </c>
      <c r="K119" s="115"/>
      <c r="L119" s="115"/>
      <c r="M119" s="115"/>
      <c r="P119" s="305"/>
      <c r="Q119" s="304"/>
      <c r="R119" s="304"/>
      <c r="S119" s="304"/>
      <c r="T119" s="307"/>
      <c r="U119" s="304"/>
    </row>
    <row r="120" spans="3:21" ht="12.75">
      <c r="C120" s="482"/>
      <c r="D120" s="297"/>
      <c r="E120" s="297" t="s">
        <v>213</v>
      </c>
      <c r="H120" s="310" t="s">
        <v>214</v>
      </c>
      <c r="I120" s="302">
        <f>ROUND(IF((I119/14)&lt;=1500,0,IF(AND((I119/14)&gt;1500,(I119/14)&lt;=2000),0.035*I119/14,IF(AND((I119/14)&gt;2000,(I119/14)&lt;=4165),0.035*2000+((I119/14)-2000)*0.16,0.1*I119/14))),2)*14</f>
        <v>0</v>
      </c>
      <c r="J120" s="312">
        <f>ROUND(IF((J119/14)&lt;=600,0,IF(AND((J119/14)&lt;=2000,(J119/14)&gt;600),(0.025+((0.095*(((J119/14)-600)/1400)))),0.12)),4)</f>
        <v>0</v>
      </c>
      <c r="K120" s="115"/>
      <c r="L120" s="313"/>
      <c r="M120" s="115"/>
      <c r="P120" s="305"/>
      <c r="Q120" s="304"/>
      <c r="R120" s="304"/>
      <c r="S120" s="304"/>
      <c r="T120" s="307"/>
      <c r="U120" s="304"/>
    </row>
    <row r="121" spans="3:21" ht="12.75">
      <c r="C121" s="482"/>
      <c r="D121" s="297"/>
      <c r="E121" s="297" t="s">
        <v>215</v>
      </c>
      <c r="H121" s="310" t="s">
        <v>216</v>
      </c>
      <c r="I121" s="302">
        <f>I119-I120</f>
        <v>0</v>
      </c>
      <c r="J121" s="311">
        <f>IF(J120=0,J119,(J119*(1-J120)))</f>
        <v>0</v>
      </c>
      <c r="K121" s="115"/>
      <c r="L121" s="115"/>
      <c r="M121" s="115"/>
      <c r="P121" s="305"/>
      <c r="Q121" s="304"/>
      <c r="R121" s="304"/>
      <c r="S121" s="304"/>
      <c r="T121" s="307"/>
      <c r="U121" s="304"/>
    </row>
    <row r="122" spans="3:21" ht="12.75">
      <c r="C122" s="482"/>
      <c r="D122" s="297"/>
      <c r="E122" s="297" t="s">
        <v>217</v>
      </c>
      <c r="F122" s="297"/>
      <c r="G122" s="297"/>
      <c r="H122" s="310" t="s">
        <v>218</v>
      </c>
      <c r="I122" s="302">
        <f>I121*0.11</f>
        <v>0</v>
      </c>
      <c r="J122" s="314">
        <f>J121*0.11</f>
        <v>0</v>
      </c>
      <c r="K122" s="115"/>
      <c r="L122" s="115"/>
      <c r="M122" s="115"/>
      <c r="P122" s="305"/>
      <c r="Q122" s="304"/>
      <c r="R122" s="304"/>
      <c r="S122" s="304"/>
      <c r="T122" s="307"/>
      <c r="U122" s="304"/>
    </row>
    <row r="123" spans="3:21" ht="12.75">
      <c r="C123" s="482"/>
      <c r="D123" s="297"/>
      <c r="E123" s="297" t="s">
        <v>204</v>
      </c>
      <c r="F123" s="297"/>
      <c r="G123" s="297"/>
      <c r="H123" s="310" t="s">
        <v>219</v>
      </c>
      <c r="I123" s="302">
        <v>4104</v>
      </c>
      <c r="J123" s="311">
        <v>4104</v>
      </c>
      <c r="K123" s="115"/>
      <c r="L123" s="115"/>
      <c r="M123" s="115"/>
      <c r="P123" s="305"/>
      <c r="Q123" s="304"/>
      <c r="R123" s="304"/>
      <c r="S123" s="304"/>
      <c r="T123" s="307"/>
      <c r="U123" s="304"/>
    </row>
    <row r="124" spans="3:21" ht="13.5" thickBot="1">
      <c r="C124" s="483"/>
      <c r="D124" s="297"/>
      <c r="E124" s="297" t="s">
        <v>205</v>
      </c>
      <c r="F124" s="297"/>
      <c r="G124" s="297"/>
      <c r="H124" s="310" t="s">
        <v>220</v>
      </c>
      <c r="I124" s="302">
        <f>IF(I119&gt;=I123,IF(I122=0,I123,IF(I122&gt;I123,I122,I123)),I119)</f>
        <v>0</v>
      </c>
      <c r="J124" s="314">
        <f>IF(J119&gt;=J123,IF(J122=0,J123,IF(J122&gt;J123,J122,J123)),J119)</f>
        <v>0</v>
      </c>
      <c r="K124" s="115"/>
      <c r="L124" s="115"/>
      <c r="M124" s="115"/>
      <c r="P124" s="305"/>
      <c r="Q124" s="304"/>
      <c r="R124" s="304"/>
      <c r="S124" s="304"/>
      <c r="T124" s="307"/>
      <c r="U124" s="304"/>
    </row>
    <row r="125" spans="3:21" ht="12.75">
      <c r="C125" s="297"/>
      <c r="D125" s="297"/>
      <c r="K125" s="115"/>
      <c r="L125" s="115"/>
      <c r="M125" s="115"/>
      <c r="P125" s="305"/>
      <c r="Q125" s="304"/>
      <c r="R125" s="304"/>
      <c r="S125" s="304"/>
      <c r="T125" s="307"/>
      <c r="U125" s="304"/>
    </row>
    <row r="126" spans="3:21" ht="13.5" thickBot="1">
      <c r="C126" s="297"/>
      <c r="D126" s="297"/>
      <c r="E126" s="298"/>
      <c r="F126" s="298"/>
      <c r="G126" s="298"/>
      <c r="H126" s="297"/>
      <c r="I126" s="297"/>
      <c r="J126" s="297"/>
      <c r="K126" s="115"/>
      <c r="L126" s="115"/>
      <c r="M126" s="115"/>
      <c r="P126" s="305"/>
      <c r="Q126" s="304"/>
      <c r="R126" s="304"/>
      <c r="S126" s="304"/>
      <c r="T126" s="307"/>
      <c r="U126" s="304"/>
    </row>
    <row r="127" spans="3:21" ht="12.75">
      <c r="C127" s="481" t="s">
        <v>180</v>
      </c>
      <c r="D127" s="297"/>
      <c r="E127" s="297" t="s">
        <v>221</v>
      </c>
      <c r="F127" s="297"/>
      <c r="G127" s="297"/>
      <c r="H127" s="300">
        <v>1</v>
      </c>
      <c r="I127" s="302">
        <f>M83</f>
        <v>0</v>
      </c>
      <c r="J127" s="314">
        <f>I127</f>
        <v>0</v>
      </c>
      <c r="K127" s="115"/>
      <c r="L127" s="115"/>
      <c r="M127" s="115"/>
      <c r="P127" s="305"/>
      <c r="Q127" s="304"/>
      <c r="R127" s="304"/>
      <c r="S127" s="304"/>
      <c r="T127" s="307"/>
      <c r="U127" s="304"/>
    </row>
    <row r="128" spans="3:21" ht="12.75">
      <c r="C128" s="482"/>
      <c r="D128" s="297"/>
      <c r="E128" s="297" t="s">
        <v>213</v>
      </c>
      <c r="F128" s="297"/>
      <c r="G128" s="297"/>
      <c r="H128" s="300">
        <v>2</v>
      </c>
      <c r="I128" s="302">
        <f>ROUND(IF((I127/14)&lt;=1500,0,IF(AND((I127/14)&gt;1500,(I127/14)&lt;=2000),0.035*I217/14,IF(AND((I127/14)&gt;2000,(I127/14)&lt;=4165),0.035*2000+((I127/14)-2000)*0.16,0.1*I127/14))),2)*14</f>
        <v>0</v>
      </c>
      <c r="J128" s="312">
        <f>ROUND(IF((J127/14)&lt;=600,0,IF(AND((J127/14)&lt;=2000,(J127/14)&gt;600),(0.025+((0.095*(((J127/14)-600)/1400)))),0.12)),4)</f>
        <v>0</v>
      </c>
      <c r="K128" s="115"/>
      <c r="L128" s="115"/>
      <c r="M128" s="115"/>
      <c r="P128" s="305"/>
      <c r="Q128" s="304"/>
      <c r="R128" s="304"/>
      <c r="S128" s="304"/>
      <c r="T128" s="307"/>
      <c r="U128" s="304"/>
    </row>
    <row r="129" spans="3:21" ht="12.75">
      <c r="C129" s="482"/>
      <c r="D129" s="304"/>
      <c r="E129" s="297" t="s">
        <v>215</v>
      </c>
      <c r="F129" s="297"/>
      <c r="G129" s="297"/>
      <c r="H129" s="300">
        <v>3</v>
      </c>
      <c r="I129" s="302">
        <f>I127-I128</f>
        <v>0</v>
      </c>
      <c r="J129" s="311">
        <f>IF(J128=0,J127,(J127*(1-J128)))</f>
        <v>0</v>
      </c>
      <c r="K129" s="115"/>
      <c r="L129" s="115"/>
      <c r="M129" s="115"/>
      <c r="P129" s="305"/>
      <c r="Q129" s="304"/>
      <c r="R129" s="304"/>
      <c r="S129" s="304"/>
      <c r="T129" s="307"/>
      <c r="U129" s="304"/>
    </row>
    <row r="130" spans="3:21" ht="12.75">
      <c r="C130" s="482"/>
      <c r="D130" s="304"/>
      <c r="E130" s="297" t="s">
        <v>203</v>
      </c>
      <c r="F130" s="297"/>
      <c r="G130" s="297"/>
      <c r="H130" s="300">
        <v>4</v>
      </c>
      <c r="I130" s="302">
        <f>I129*0.11</f>
        <v>0</v>
      </c>
      <c r="J130" s="314">
        <f>J129*0.11</f>
        <v>0</v>
      </c>
      <c r="K130" s="115"/>
      <c r="L130" s="115"/>
      <c r="M130" s="115"/>
      <c r="P130" s="305"/>
      <c r="Q130" s="304"/>
      <c r="R130" s="304"/>
      <c r="S130" s="304"/>
      <c r="T130" s="307"/>
      <c r="U130" s="304"/>
    </row>
    <row r="131" spans="3:21" ht="12.75">
      <c r="C131" s="482"/>
      <c r="D131" s="304"/>
      <c r="E131" s="297" t="s">
        <v>204</v>
      </c>
      <c r="F131" s="297"/>
      <c r="G131" s="297"/>
      <c r="H131" s="300">
        <v>5</v>
      </c>
      <c r="I131" s="302">
        <v>4104</v>
      </c>
      <c r="J131" s="311">
        <v>4104</v>
      </c>
      <c r="K131" s="115"/>
      <c r="L131" s="115"/>
      <c r="M131" s="115"/>
      <c r="P131" s="305"/>
      <c r="Q131" s="304"/>
      <c r="R131" s="304"/>
      <c r="S131" s="304"/>
      <c r="T131" s="307"/>
      <c r="U131" s="304"/>
    </row>
    <row r="132" spans="3:21" ht="13.5" thickBot="1">
      <c r="C132" s="483"/>
      <c r="E132" s="297" t="s">
        <v>205</v>
      </c>
      <c r="F132" s="297"/>
      <c r="G132" s="297"/>
      <c r="H132" s="300">
        <v>6</v>
      </c>
      <c r="I132" s="302">
        <f>IF(I127&gt;=I131,IF(I130=0,I131,IF(I130&gt;I131,I130,I131)),I127)</f>
        <v>0</v>
      </c>
      <c r="J132" s="314">
        <f>IF(J127&gt;=J131,IF(J130=0,J131,IF(J130&gt;J131,J130,J131)),J127)</f>
        <v>0</v>
      </c>
      <c r="K132" s="115"/>
      <c r="L132" s="115"/>
      <c r="M132" s="115"/>
      <c r="P132" s="305"/>
      <c r="Q132" s="304"/>
      <c r="R132" s="304"/>
      <c r="S132" s="304"/>
      <c r="T132" s="307"/>
      <c r="U132" s="304"/>
    </row>
    <row r="133" spans="5:21" ht="12.75">
      <c r="E133" s="298"/>
      <c r="F133" s="299"/>
      <c r="G133" s="298"/>
      <c r="H133" s="297"/>
      <c r="I133" s="297"/>
      <c r="J133" s="297"/>
      <c r="K133" s="115"/>
      <c r="L133" s="115"/>
      <c r="M133" s="115"/>
      <c r="P133" s="305"/>
      <c r="Q133" s="304"/>
      <c r="R133" s="304"/>
      <c r="S133" s="304"/>
      <c r="T133" s="307"/>
      <c r="U133" s="304"/>
    </row>
    <row r="134" spans="3:21" ht="12.75">
      <c r="C134" s="304" t="s">
        <v>207</v>
      </c>
      <c r="E134" s="305" t="s">
        <v>208</v>
      </c>
      <c r="F134" s="304"/>
      <c r="G134" s="304"/>
      <c r="H134" s="304"/>
      <c r="I134" s="306">
        <f>I121+I129</f>
        <v>0</v>
      </c>
      <c r="J134" s="306">
        <f>J121+J129</f>
        <v>0</v>
      </c>
      <c r="K134" s="115"/>
      <c r="L134" s="115"/>
      <c r="M134" s="115"/>
      <c r="P134" s="305"/>
      <c r="Q134" s="304"/>
      <c r="R134" s="304"/>
      <c r="S134" s="304"/>
      <c r="T134" s="307"/>
      <c r="U134" s="304"/>
    </row>
    <row r="135" spans="3:21" ht="12.75">
      <c r="C135" s="304"/>
      <c r="E135" s="305"/>
      <c r="F135" s="304"/>
      <c r="G135" s="304"/>
      <c r="H135" s="304"/>
      <c r="I135" s="307"/>
      <c r="J135" s="304"/>
      <c r="K135" s="115"/>
      <c r="L135" s="115"/>
      <c r="M135" s="115"/>
      <c r="P135" s="305"/>
      <c r="Q135" s="304"/>
      <c r="R135" s="304"/>
      <c r="S135" s="304"/>
      <c r="T135" s="307"/>
      <c r="U135" s="304"/>
    </row>
    <row r="136" spans="3:21" ht="12.75">
      <c r="C136" s="304" t="s">
        <v>207</v>
      </c>
      <c r="E136" s="305" t="s">
        <v>209</v>
      </c>
      <c r="F136" s="304"/>
      <c r="G136" s="304"/>
      <c r="H136" s="304"/>
      <c r="I136" s="306">
        <f>I124+I132</f>
        <v>0</v>
      </c>
      <c r="J136" s="306">
        <f>J124+J132</f>
        <v>0</v>
      </c>
      <c r="K136" s="115"/>
      <c r="L136" s="115"/>
      <c r="M136" s="115"/>
      <c r="P136" s="305"/>
      <c r="Q136" s="304"/>
      <c r="R136" s="304"/>
      <c r="S136" s="304"/>
      <c r="T136" s="307"/>
      <c r="U136" s="304"/>
    </row>
    <row r="137" spans="10:21" ht="12.75">
      <c r="J137" s="297"/>
      <c r="K137" s="308"/>
      <c r="L137" s="297"/>
      <c r="M137" s="297"/>
      <c r="N137" s="304"/>
      <c r="P137" s="305"/>
      <c r="Q137" s="304"/>
      <c r="R137" s="304"/>
      <c r="S137" s="304"/>
      <c r="T137" s="307"/>
      <c r="U137" s="304"/>
    </row>
    <row r="138" spans="10:21" ht="12.75">
      <c r="J138" s="297"/>
      <c r="K138" s="308"/>
      <c r="L138" s="297"/>
      <c r="M138" s="297"/>
      <c r="N138" s="304"/>
      <c r="P138" s="305"/>
      <c r="Q138" s="304"/>
      <c r="R138" s="304"/>
      <c r="S138" s="304"/>
      <c r="T138" s="307"/>
      <c r="U138" s="304"/>
    </row>
    <row r="139" spans="3:13" ht="13.5" thickBot="1">
      <c r="C139" s="297"/>
      <c r="D139" s="297"/>
      <c r="E139" s="297"/>
      <c r="F139" s="297"/>
      <c r="G139" s="297"/>
      <c r="H139" s="297"/>
      <c r="I139" s="297"/>
      <c r="J139" s="297"/>
      <c r="K139" s="115"/>
      <c r="L139" s="115"/>
      <c r="M139" s="297"/>
    </row>
    <row r="140" spans="3:13" ht="13.5" thickBot="1">
      <c r="C140" s="315" t="s">
        <v>222</v>
      </c>
      <c r="D140" s="316"/>
      <c r="E140" s="317"/>
      <c r="F140" s="299"/>
      <c r="G140" s="297"/>
      <c r="H140" s="297"/>
      <c r="I140" s="297"/>
      <c r="J140" s="297"/>
      <c r="K140" s="115"/>
      <c r="L140" s="115"/>
      <c r="M140" s="296"/>
    </row>
    <row r="141" spans="3:13" ht="13.5" thickBot="1">
      <c r="C141" s="297"/>
      <c r="D141" s="297"/>
      <c r="E141" s="297"/>
      <c r="F141" s="297"/>
      <c r="G141" s="297"/>
      <c r="H141" s="318">
        <v>2013</v>
      </c>
      <c r="I141" s="319">
        <v>2014</v>
      </c>
      <c r="J141" s="297"/>
      <c r="K141" s="115"/>
      <c r="L141" s="115"/>
      <c r="M141" s="297"/>
    </row>
    <row r="142" spans="3:13" ht="13.5" customHeight="1">
      <c r="C142" s="484" t="s">
        <v>179</v>
      </c>
      <c r="D142" s="297"/>
      <c r="E142" s="304" t="s">
        <v>223</v>
      </c>
      <c r="F142" s="297"/>
      <c r="G142" s="297"/>
      <c r="H142" s="297"/>
      <c r="I142" s="297"/>
      <c r="J142" s="297"/>
      <c r="K142" s="115"/>
      <c r="L142" s="115"/>
      <c r="M142" s="297"/>
    </row>
    <row r="143" spans="3:13" ht="12.75">
      <c r="C143" s="485"/>
      <c r="D143" s="297"/>
      <c r="E143" s="297" t="s">
        <v>224</v>
      </c>
      <c r="F143" s="297"/>
      <c r="G143" s="297"/>
      <c r="H143" s="302">
        <f>$L$87*0.2</f>
        <v>0</v>
      </c>
      <c r="I143" s="302">
        <f>$L$87*0.2</f>
        <v>0</v>
      </c>
      <c r="J143" s="297"/>
      <c r="K143" s="115"/>
      <c r="L143" s="115"/>
      <c r="M143" s="297"/>
    </row>
    <row r="144" spans="3:13" ht="12.75">
      <c r="C144" s="485"/>
      <c r="D144" s="297"/>
      <c r="E144" s="297" t="s">
        <v>225</v>
      </c>
      <c r="F144" s="297"/>
      <c r="G144" s="297"/>
      <c r="H144" s="302">
        <f>0.75*$L$85</f>
        <v>0</v>
      </c>
      <c r="I144" s="302">
        <f>0.75*$L$85</f>
        <v>0</v>
      </c>
      <c r="J144" s="297"/>
      <c r="K144" s="115"/>
      <c r="L144" s="115"/>
      <c r="M144" s="297"/>
    </row>
    <row r="145" spans="3:13" ht="12.75">
      <c r="C145" s="485"/>
      <c r="D145" s="297"/>
      <c r="E145" s="297"/>
      <c r="F145" s="297"/>
      <c r="G145" s="297"/>
      <c r="H145" s="320"/>
      <c r="I145" s="320"/>
      <c r="J145" s="297"/>
      <c r="K145" s="115"/>
      <c r="L145" s="115"/>
      <c r="M145" s="297"/>
    </row>
    <row r="146" spans="3:13" ht="12.75">
      <c r="C146" s="485"/>
      <c r="D146" s="297"/>
      <c r="E146" s="304" t="s">
        <v>226</v>
      </c>
      <c r="F146" s="297"/>
      <c r="G146" s="297"/>
      <c r="H146" s="297"/>
      <c r="I146" s="297"/>
      <c r="J146" s="297"/>
      <c r="K146" s="115"/>
      <c r="L146" s="115"/>
      <c r="M146" s="297"/>
    </row>
    <row r="147" spans="3:13" ht="13.5" thickBot="1">
      <c r="C147" s="486"/>
      <c r="D147" s="297"/>
      <c r="E147" s="297" t="s">
        <v>227</v>
      </c>
      <c r="F147" s="297"/>
      <c r="G147" s="297"/>
      <c r="H147" s="302">
        <f>$L$89</f>
        <v>0</v>
      </c>
      <c r="I147" s="302">
        <f>$L$89</f>
        <v>0</v>
      </c>
      <c r="J147" s="297"/>
      <c r="K147" s="115"/>
      <c r="L147" s="115"/>
      <c r="M147" s="297"/>
    </row>
    <row r="148" spans="3:13" ht="13.5" thickBot="1">
      <c r="C148" s="297"/>
      <c r="D148" s="297"/>
      <c r="E148" s="297"/>
      <c r="F148" s="297"/>
      <c r="G148" s="297"/>
      <c r="H148" s="297"/>
      <c r="I148" s="297"/>
      <c r="J148" s="297"/>
      <c r="K148" s="115"/>
      <c r="L148" s="115"/>
      <c r="M148" s="297"/>
    </row>
    <row r="149" spans="3:13" ht="13.5" customHeight="1">
      <c r="C149" s="484" t="s">
        <v>180</v>
      </c>
      <c r="D149" s="297"/>
      <c r="E149" s="304" t="s">
        <v>223</v>
      </c>
      <c r="F149" s="297"/>
      <c r="G149" s="297"/>
      <c r="H149" s="297"/>
      <c r="I149" s="297"/>
      <c r="J149" s="297"/>
      <c r="K149" s="115"/>
      <c r="L149" s="115"/>
      <c r="M149" s="297"/>
    </row>
    <row r="150" spans="3:13" ht="12.75">
      <c r="C150" s="485"/>
      <c r="D150" s="297"/>
      <c r="E150" s="297" t="s">
        <v>224</v>
      </c>
      <c r="F150" s="297"/>
      <c r="G150" s="297"/>
      <c r="H150" s="302">
        <f>0.2*$M$87</f>
        <v>0</v>
      </c>
      <c r="I150" s="302">
        <f>0.2*$M$87</f>
        <v>0</v>
      </c>
      <c r="J150" s="297"/>
      <c r="K150" s="115"/>
      <c r="L150" s="115"/>
      <c r="M150" s="297"/>
    </row>
    <row r="151" spans="3:13" ht="12.75">
      <c r="C151" s="485"/>
      <c r="D151" s="297"/>
      <c r="E151" s="297" t="s">
        <v>228</v>
      </c>
      <c r="F151" s="297"/>
      <c r="G151" s="297"/>
      <c r="H151" s="302">
        <f>0.7*$M$85</f>
        <v>0</v>
      </c>
      <c r="I151" s="302">
        <f>0.7*$M$85</f>
        <v>0</v>
      </c>
      <c r="J151" s="297"/>
      <c r="K151" s="115"/>
      <c r="L151" s="115"/>
      <c r="M151" s="297"/>
    </row>
    <row r="152" spans="3:13" ht="12.75">
      <c r="C152" s="485"/>
      <c r="D152" s="297"/>
      <c r="E152" s="297"/>
      <c r="F152" s="297"/>
      <c r="G152" s="297"/>
      <c r="H152" s="320"/>
      <c r="I152" s="320"/>
      <c r="J152" s="297"/>
      <c r="K152" s="115"/>
      <c r="L152" s="115"/>
      <c r="M152" s="297"/>
    </row>
    <row r="153" spans="3:13" ht="12.75">
      <c r="C153" s="485"/>
      <c r="D153" s="297"/>
      <c r="E153" s="304" t="s">
        <v>226</v>
      </c>
      <c r="F153" s="297"/>
      <c r="G153" s="297"/>
      <c r="H153" s="297"/>
      <c r="I153" s="297"/>
      <c r="J153" s="297"/>
      <c r="K153" s="115"/>
      <c r="L153" s="115"/>
      <c r="M153" s="297"/>
    </row>
    <row r="154" spans="3:13" ht="13.5" thickBot="1">
      <c r="C154" s="486"/>
      <c r="D154" s="297"/>
      <c r="E154" s="297" t="s">
        <v>227</v>
      </c>
      <c r="F154" s="297"/>
      <c r="G154" s="297"/>
      <c r="H154" s="302">
        <f>$M$89</f>
        <v>0</v>
      </c>
      <c r="I154" s="302">
        <f>$M$89</f>
        <v>0</v>
      </c>
      <c r="J154" s="297"/>
      <c r="K154" s="115"/>
      <c r="L154" s="115"/>
      <c r="M154" s="297"/>
    </row>
    <row r="155" spans="3:13" ht="13.5" thickBot="1">
      <c r="C155" s="297"/>
      <c r="D155" s="297"/>
      <c r="E155" s="297"/>
      <c r="F155" s="297"/>
      <c r="G155" s="297"/>
      <c r="H155" s="297"/>
      <c r="I155" s="297"/>
      <c r="J155" s="297"/>
      <c r="K155" s="115"/>
      <c r="L155" s="115"/>
      <c r="M155" s="297"/>
    </row>
    <row r="156" spans="3:13" ht="13.5" thickBot="1">
      <c r="C156" s="304" t="s">
        <v>140</v>
      </c>
      <c r="D156" s="304"/>
      <c r="E156" s="305" t="s">
        <v>229</v>
      </c>
      <c r="F156" s="304"/>
      <c r="G156" s="304"/>
      <c r="H156" s="321">
        <f>+H143+H144+H147+H150+H151+H154</f>
        <v>0</v>
      </c>
      <c r="I156" s="321">
        <f>+I143+I144+I147+I150+I151+I154</f>
        <v>0</v>
      </c>
      <c r="J156" s="304"/>
      <c r="K156" s="115"/>
      <c r="L156" s="115"/>
      <c r="M156" s="297"/>
    </row>
    <row r="157" spans="3:13" ht="12.75">
      <c r="C157" s="297"/>
      <c r="D157" s="297"/>
      <c r="E157" s="297"/>
      <c r="F157" s="297"/>
      <c r="G157" s="297"/>
      <c r="H157" s="297"/>
      <c r="I157" s="297"/>
      <c r="J157" s="297"/>
      <c r="K157" s="115"/>
      <c r="L157" s="115"/>
      <c r="M157" s="297"/>
    </row>
    <row r="158" spans="11:13" ht="13.5" thickBot="1">
      <c r="K158" s="115"/>
      <c r="L158" s="115"/>
      <c r="M158" s="297"/>
    </row>
    <row r="159" spans="3:13" ht="13.5" thickBot="1">
      <c r="C159" s="322" t="s">
        <v>50</v>
      </c>
      <c r="D159" s="317"/>
      <c r="E159" s="297"/>
      <c r="F159" s="297"/>
      <c r="G159" s="297"/>
      <c r="H159" s="296"/>
      <c r="I159" s="296"/>
      <c r="K159" s="115"/>
      <c r="L159" s="115"/>
      <c r="M159" s="297"/>
    </row>
    <row r="160" spans="3:13" ht="13.5" thickBot="1">
      <c r="C160" s="297"/>
      <c r="D160" s="297"/>
      <c r="E160" s="297"/>
      <c r="F160" s="297"/>
      <c r="G160" s="297"/>
      <c r="H160" s="318">
        <v>2013</v>
      </c>
      <c r="I160" s="318">
        <v>2014</v>
      </c>
      <c r="K160" s="115"/>
      <c r="L160" s="115"/>
      <c r="M160" s="297"/>
    </row>
    <row r="161" spans="3:14" ht="13.5" customHeight="1">
      <c r="C161" s="487" t="s">
        <v>179</v>
      </c>
      <c r="D161" s="297"/>
      <c r="E161" s="304" t="s">
        <v>230</v>
      </c>
      <c r="F161" s="297"/>
      <c r="G161" s="304">
        <v>1</v>
      </c>
      <c r="H161" s="311">
        <f>L91</f>
        <v>0</v>
      </c>
      <c r="I161" s="311">
        <f>H161</f>
        <v>0</v>
      </c>
      <c r="K161" s="313"/>
      <c r="L161" s="115"/>
      <c r="M161" s="320"/>
      <c r="N161" s="313"/>
    </row>
    <row r="162" spans="3:20" ht="12.75">
      <c r="C162" s="488"/>
      <c r="D162" s="297"/>
      <c r="E162" s="304" t="s">
        <v>231</v>
      </c>
      <c r="F162" s="297"/>
      <c r="G162" s="304">
        <v>2</v>
      </c>
      <c r="H162" s="311"/>
      <c r="I162" s="311"/>
      <c r="K162" s="313"/>
      <c r="L162" s="115"/>
      <c r="M162" s="323"/>
      <c r="N162" s="323"/>
      <c r="O162" s="323"/>
      <c r="P162" s="323"/>
      <c r="Q162" s="323"/>
      <c r="R162" s="323"/>
      <c r="S162" s="323"/>
      <c r="T162" s="323"/>
    </row>
    <row r="163" spans="3:20" ht="12.75">
      <c r="C163" s="488"/>
      <c r="D163" s="297"/>
      <c r="E163" s="297" t="s">
        <v>232</v>
      </c>
      <c r="F163" s="297"/>
      <c r="G163" s="297">
        <v>3</v>
      </c>
      <c r="H163" s="311"/>
      <c r="I163" s="314"/>
      <c r="J163" s="324" t="s">
        <v>233</v>
      </c>
      <c r="K163" s="115"/>
      <c r="L163" s="115"/>
      <c r="M163" s="323"/>
      <c r="N163" s="323"/>
      <c r="O163" s="323"/>
      <c r="P163" s="323"/>
      <c r="Q163" s="323"/>
      <c r="R163" s="323"/>
      <c r="S163" s="323"/>
      <c r="T163" s="323"/>
    </row>
    <row r="164" spans="3:20" ht="12.75">
      <c r="C164" s="488"/>
      <c r="E164" s="297" t="s">
        <v>234</v>
      </c>
      <c r="F164" s="297"/>
      <c r="G164" s="115">
        <v>4</v>
      </c>
      <c r="H164" s="311">
        <f>H161+H162-H163</f>
        <v>0</v>
      </c>
      <c r="I164" s="311">
        <f>I161+I162-I163</f>
        <v>0</v>
      </c>
      <c r="K164" s="313"/>
      <c r="L164" s="313"/>
      <c r="M164" s="313"/>
      <c r="N164" s="323"/>
      <c r="O164" s="323"/>
      <c r="P164" s="323"/>
      <c r="Q164" s="323"/>
      <c r="R164" s="323"/>
      <c r="S164" s="323"/>
      <c r="T164" s="323"/>
    </row>
    <row r="165" spans="3:21" ht="12.75">
      <c r="C165" s="488"/>
      <c r="E165" s="304" t="s">
        <v>111</v>
      </c>
      <c r="F165" s="297"/>
      <c r="G165" s="115">
        <v>5</v>
      </c>
      <c r="H165" s="311">
        <f>IF((H161/14)-G185&lt;1350,(H161/14-1350)*14,G186)</f>
        <v>-18900</v>
      </c>
      <c r="I165" s="311">
        <f>IF((I161/14)-G188&lt;1350,(I161/14-1350)*14,G189)</f>
        <v>-18900</v>
      </c>
      <c r="J165" s="297"/>
      <c r="K165" s="115"/>
      <c r="L165" s="115"/>
      <c r="M165" s="313"/>
      <c r="N165" s="323"/>
      <c r="O165" s="323"/>
      <c r="P165" s="323"/>
      <c r="Q165" s="323"/>
      <c r="R165" s="323"/>
      <c r="S165" s="323"/>
      <c r="T165" s="323"/>
      <c r="U165" s="112"/>
    </row>
    <row r="166" spans="3:21" ht="12.75">
      <c r="C166" s="488"/>
      <c r="E166" s="297" t="s">
        <v>235</v>
      </c>
      <c r="F166" s="297"/>
      <c r="G166" s="115">
        <v>6</v>
      </c>
      <c r="H166" s="311">
        <f>G191</f>
        <v>0</v>
      </c>
      <c r="I166" s="311">
        <f>G192</f>
        <v>0</v>
      </c>
      <c r="J166" s="297"/>
      <c r="K166" s="115"/>
      <c r="L166" s="115"/>
      <c r="M166" s="323"/>
      <c r="N166" s="323"/>
      <c r="O166" s="323"/>
      <c r="P166" s="323"/>
      <c r="Q166" s="323"/>
      <c r="R166" s="323"/>
      <c r="S166" s="323"/>
      <c r="T166" s="323"/>
      <c r="U166" s="112"/>
    </row>
    <row r="167" spans="3:21" ht="33.75" customHeight="1" thickBot="1">
      <c r="C167" s="489"/>
      <c r="E167" s="325" t="s">
        <v>236</v>
      </c>
      <c r="F167" s="297"/>
      <c r="H167" s="311">
        <f>IF(H166&gt;H165,H166,H165)</f>
        <v>0</v>
      </c>
      <c r="I167" s="311">
        <f>IF(I166&gt;I165,I166,I165)</f>
        <v>0</v>
      </c>
      <c r="J167" s="304"/>
      <c r="K167" s="115"/>
      <c r="L167" s="115"/>
      <c r="M167" s="323"/>
      <c r="N167" s="323"/>
      <c r="O167" s="323"/>
      <c r="P167" s="323"/>
      <c r="Q167" s="323"/>
      <c r="R167" s="323"/>
      <c r="S167" s="323"/>
      <c r="T167" s="323"/>
      <c r="U167" s="112"/>
    </row>
    <row r="168" spans="11:21" ht="12.75">
      <c r="K168" s="115"/>
      <c r="L168" s="115"/>
      <c r="M168" s="323"/>
      <c r="N168" s="323"/>
      <c r="O168" s="323"/>
      <c r="P168" s="323"/>
      <c r="Q168" s="323"/>
      <c r="R168" s="323"/>
      <c r="S168" s="323"/>
      <c r="T168" s="323"/>
      <c r="U168" s="112"/>
    </row>
    <row r="169" spans="11:21" ht="12.75">
      <c r="K169" s="115"/>
      <c r="L169" s="115"/>
      <c r="M169" s="323"/>
      <c r="N169" s="323"/>
      <c r="O169" s="323"/>
      <c r="P169" s="323"/>
      <c r="Q169" s="323"/>
      <c r="R169" s="323"/>
      <c r="S169" s="323"/>
      <c r="T169" s="323"/>
      <c r="U169" s="112"/>
    </row>
    <row r="170" spans="3:21" ht="13.5" thickBot="1">
      <c r="C170" s="297"/>
      <c r="D170" s="297"/>
      <c r="E170" s="297"/>
      <c r="F170" s="297"/>
      <c r="G170" s="297"/>
      <c r="H170" s="318">
        <v>2013</v>
      </c>
      <c r="I170" s="318">
        <v>2014</v>
      </c>
      <c r="K170" s="115"/>
      <c r="L170" s="115"/>
      <c r="M170" s="323"/>
      <c r="N170" s="297"/>
      <c r="O170" s="304"/>
      <c r="P170" s="304"/>
      <c r="Q170" s="304"/>
      <c r="R170" s="326"/>
      <c r="S170" s="326"/>
      <c r="T170" s="304"/>
      <c r="U170" s="112"/>
    </row>
    <row r="171" spans="3:21" ht="12.75">
      <c r="C171" s="487" t="s">
        <v>180</v>
      </c>
      <c r="D171" s="297"/>
      <c r="E171" s="304" t="s">
        <v>230</v>
      </c>
      <c r="F171" s="297"/>
      <c r="G171" s="304">
        <v>1</v>
      </c>
      <c r="H171" s="302">
        <f>M91</f>
        <v>0</v>
      </c>
      <c r="I171" s="302">
        <f>H171</f>
        <v>0</v>
      </c>
      <c r="K171" s="313"/>
      <c r="L171" s="115"/>
      <c r="M171" s="323"/>
      <c r="N171" s="297"/>
      <c r="O171" s="304"/>
      <c r="P171" s="304"/>
      <c r="Q171" s="304"/>
      <c r="R171" s="326"/>
      <c r="S171" s="326"/>
      <c r="T171" s="304"/>
      <c r="U171" s="112"/>
    </row>
    <row r="172" spans="3:21" ht="12.75">
      <c r="C172" s="488"/>
      <c r="D172" s="297"/>
      <c r="E172" s="304" t="s">
        <v>231</v>
      </c>
      <c r="F172" s="297"/>
      <c r="G172" s="304">
        <v>2</v>
      </c>
      <c r="H172" s="302"/>
      <c r="I172" s="302"/>
      <c r="K172" s="115"/>
      <c r="L172" s="115"/>
      <c r="M172" s="323"/>
      <c r="N172" s="297"/>
      <c r="O172" s="304"/>
      <c r="P172" s="304"/>
      <c r="Q172" s="304"/>
      <c r="R172" s="326"/>
      <c r="S172" s="326"/>
      <c r="T172" s="304"/>
      <c r="U172" s="112"/>
    </row>
    <row r="173" spans="3:21" ht="12.75">
      <c r="C173" s="488"/>
      <c r="D173" s="297"/>
      <c r="E173" s="327" t="s">
        <v>232</v>
      </c>
      <c r="F173" s="327"/>
      <c r="G173" s="297">
        <v>3</v>
      </c>
      <c r="H173" s="302"/>
      <c r="I173" s="314"/>
      <c r="J173" s="324" t="s">
        <v>233</v>
      </c>
      <c r="K173" s="115"/>
      <c r="L173" s="115"/>
      <c r="M173" s="323"/>
      <c r="N173" s="297"/>
      <c r="O173" s="304"/>
      <c r="P173" s="304"/>
      <c r="Q173" s="304"/>
      <c r="R173" s="326"/>
      <c r="S173" s="326"/>
      <c r="T173" s="304"/>
      <c r="U173" s="112"/>
    </row>
    <row r="174" spans="3:21" ht="12.75">
      <c r="C174" s="488"/>
      <c r="E174" s="325" t="s">
        <v>234</v>
      </c>
      <c r="F174" s="325"/>
      <c r="G174" s="115">
        <v>4</v>
      </c>
      <c r="H174" s="311">
        <f>H171+H172-H173</f>
        <v>0</v>
      </c>
      <c r="I174" s="311">
        <f>I171+I172-I173</f>
        <v>0</v>
      </c>
      <c r="K174" s="313"/>
      <c r="L174" s="115"/>
      <c r="M174" s="323"/>
      <c r="N174" s="297"/>
      <c r="O174" s="304"/>
      <c r="P174" s="304"/>
      <c r="Q174" s="304"/>
      <c r="R174" s="326"/>
      <c r="S174" s="326"/>
      <c r="T174" s="304"/>
      <c r="U174" s="112"/>
    </row>
    <row r="175" spans="3:21" ht="12.75">
      <c r="C175" s="488"/>
      <c r="E175" s="328" t="s">
        <v>111</v>
      </c>
      <c r="F175" s="325"/>
      <c r="G175" s="115">
        <v>5</v>
      </c>
      <c r="H175" s="302">
        <f>IF((H171/14)-J185&lt;1350,(H171/14-1350)*14,J186)</f>
        <v>-18900</v>
      </c>
      <c r="I175" s="302">
        <f>IF((I171/14)-J188&lt;1350,(I171/14-1350)*14,J189)</f>
        <v>-18900</v>
      </c>
      <c r="J175" s="297"/>
      <c r="K175" s="115"/>
      <c r="L175" s="115"/>
      <c r="M175" s="323"/>
      <c r="N175" s="297"/>
      <c r="O175" s="304"/>
      <c r="P175" s="304"/>
      <c r="Q175" s="304"/>
      <c r="R175" s="326"/>
      <c r="S175" s="326"/>
      <c r="T175" s="304"/>
      <c r="U175" s="112"/>
    </row>
    <row r="176" spans="3:21" ht="12.75">
      <c r="C176" s="488"/>
      <c r="E176" s="325" t="s">
        <v>235</v>
      </c>
      <c r="F176" s="325"/>
      <c r="G176" s="115">
        <v>6</v>
      </c>
      <c r="H176" s="302">
        <f>J191</f>
        <v>0</v>
      </c>
      <c r="I176" s="302">
        <f>J192</f>
        <v>0</v>
      </c>
      <c r="J176" s="297"/>
      <c r="K176" s="115"/>
      <c r="L176" s="115"/>
      <c r="M176" s="323"/>
      <c r="N176" s="297"/>
      <c r="O176" s="304"/>
      <c r="P176" s="304"/>
      <c r="Q176" s="304"/>
      <c r="R176" s="326"/>
      <c r="S176" s="326"/>
      <c r="T176" s="304"/>
      <c r="U176" s="112"/>
    </row>
    <row r="177" spans="3:21" ht="13.5" thickBot="1">
      <c r="C177" s="489"/>
      <c r="E177" s="325" t="s">
        <v>236</v>
      </c>
      <c r="F177" s="325"/>
      <c r="H177" s="302">
        <f>IF(H176&gt;H175,H176,H175)</f>
        <v>0</v>
      </c>
      <c r="I177" s="302">
        <f>IF(I176&gt;I175,I176,I175)</f>
        <v>0</v>
      </c>
      <c r="J177" s="304"/>
      <c r="K177" s="115"/>
      <c r="L177" s="115"/>
      <c r="M177" s="323"/>
      <c r="N177" s="297"/>
      <c r="O177" s="304"/>
      <c r="P177" s="304"/>
      <c r="Q177" s="304"/>
      <c r="R177" s="326"/>
      <c r="S177" s="326"/>
      <c r="T177" s="304"/>
      <c r="U177" s="112"/>
    </row>
    <row r="178" spans="11:22" ht="12.75">
      <c r="K178" s="115"/>
      <c r="L178" s="115"/>
      <c r="M178" s="323"/>
      <c r="N178" s="323"/>
      <c r="O178" s="323"/>
      <c r="P178" s="323"/>
      <c r="Q178" s="323"/>
      <c r="R178" s="323"/>
      <c r="S178" s="323"/>
      <c r="T178" s="323"/>
      <c r="U178" s="323"/>
      <c r="V178" s="323"/>
    </row>
    <row r="179" spans="3:22" ht="12.75">
      <c r="C179" s="304" t="s">
        <v>207</v>
      </c>
      <c r="D179" s="304"/>
      <c r="E179" s="305" t="s">
        <v>208</v>
      </c>
      <c r="F179" s="304"/>
      <c r="G179" s="304"/>
      <c r="H179" s="306">
        <f>H171+H161</f>
        <v>0</v>
      </c>
      <c r="I179" s="306">
        <f>I171+I161</f>
        <v>0</v>
      </c>
      <c r="K179" s="115"/>
      <c r="L179" s="115"/>
      <c r="M179" s="323"/>
      <c r="N179" s="323"/>
      <c r="O179" s="323"/>
      <c r="P179" s="323"/>
      <c r="Q179" s="323"/>
      <c r="R179" s="323"/>
      <c r="S179" s="323"/>
      <c r="T179" s="323"/>
      <c r="U179" s="323"/>
      <c r="V179" s="323"/>
    </row>
    <row r="180" spans="3:22" ht="12.75">
      <c r="C180" s="304"/>
      <c r="D180" s="304"/>
      <c r="E180" s="305"/>
      <c r="F180" s="304"/>
      <c r="G180" s="304"/>
      <c r="H180" s="307"/>
      <c r="I180" s="304"/>
      <c r="K180" s="115"/>
      <c r="L180" s="115"/>
      <c r="M180" s="323"/>
      <c r="N180" s="323"/>
      <c r="O180" s="323"/>
      <c r="P180" s="323"/>
      <c r="Q180" s="323"/>
      <c r="R180" s="323"/>
      <c r="S180" s="323"/>
      <c r="T180" s="323"/>
      <c r="U180" s="323"/>
      <c r="V180" s="323"/>
    </row>
    <row r="181" spans="3:22" ht="12.75">
      <c r="C181" s="304" t="s">
        <v>207</v>
      </c>
      <c r="D181" s="304"/>
      <c r="E181" s="305" t="s">
        <v>209</v>
      </c>
      <c r="F181" s="304"/>
      <c r="G181" s="304"/>
      <c r="H181" s="306">
        <f>H167+H177</f>
        <v>0</v>
      </c>
      <c r="I181" s="306">
        <f>I167+I177</f>
        <v>0</v>
      </c>
      <c r="K181" s="115"/>
      <c r="L181" s="115"/>
      <c r="M181" s="323"/>
      <c r="N181" s="323"/>
      <c r="O181" s="323"/>
      <c r="P181" s="323"/>
      <c r="Q181" s="323"/>
      <c r="R181" s="323"/>
      <c r="S181" s="323"/>
      <c r="T181" s="323"/>
      <c r="U181" s="323"/>
      <c r="V181" s="323"/>
    </row>
    <row r="182" spans="11:22" ht="12.75" customHeight="1">
      <c r="K182" s="115"/>
      <c r="L182" s="115"/>
      <c r="M182" s="323"/>
      <c r="N182" s="323"/>
      <c r="O182" s="323"/>
      <c r="P182" s="323"/>
      <c r="Q182" s="323"/>
      <c r="R182" s="323"/>
      <c r="S182" s="323"/>
      <c r="T182" s="323"/>
      <c r="U182" s="323"/>
      <c r="V182" s="323"/>
    </row>
    <row r="183" spans="6:22" ht="12.75">
      <c r="F183" s="329" t="s">
        <v>237</v>
      </c>
      <c r="I183" s="329" t="s">
        <v>238</v>
      </c>
      <c r="K183" s="115"/>
      <c r="L183" s="115"/>
      <c r="M183" s="323"/>
      <c r="N183" s="323"/>
      <c r="O183" s="323"/>
      <c r="P183" s="323"/>
      <c r="Q183" s="323"/>
      <c r="R183" s="323"/>
      <c r="S183" s="323"/>
      <c r="T183" s="323"/>
      <c r="U183" s="323"/>
      <c r="V183" s="323"/>
    </row>
    <row r="184" spans="3:22" ht="12.75">
      <c r="C184" s="297"/>
      <c r="D184" s="297"/>
      <c r="E184" s="297"/>
      <c r="H184" s="297"/>
      <c r="K184" s="115"/>
      <c r="L184" s="115"/>
      <c r="M184" s="323"/>
      <c r="N184" s="323"/>
      <c r="O184" s="323"/>
      <c r="P184" s="323"/>
      <c r="Q184" s="323"/>
      <c r="R184" s="323"/>
      <c r="S184" s="323"/>
      <c r="T184" s="323"/>
      <c r="U184" s="323"/>
      <c r="V184" s="323"/>
    </row>
    <row r="185" spans="6:22" ht="12.75">
      <c r="F185" s="330" t="s">
        <v>239</v>
      </c>
      <c r="G185" s="331">
        <f>ROUND(IF(H164/14&gt;AD27,((VLOOKUP(H164/14,AD27:AG29,3,TRUE)*H164/14)-VLOOKUP(H164/14,AD27:AG29,4))+((VLOOKUP(H164/14,AD35:AG37,3,TRUE)*H164/14)-VLOOKUP(H164/14,AD35:AG37,4)),0),2)</f>
        <v>0</v>
      </c>
      <c r="I185" s="330" t="s">
        <v>239</v>
      </c>
      <c r="J185" s="331">
        <f>ROUND(IF(H174/14&gt;AD27,((VLOOKUP(H174/14,AD27:AG29,3,TRUE)*H174/14)-VLOOKUP(H174/14,AD27:AG29,4))+((VLOOKUP(H174/14,AD35:AG37,3,TRUE)*H174/14)-VLOOKUP(H174/14,AD35:AG37,4)),0),2)</f>
        <v>0</v>
      </c>
      <c r="K185" s="115"/>
      <c r="L185" s="115"/>
      <c r="M185" s="323"/>
      <c r="N185" s="323"/>
      <c r="O185" s="323"/>
      <c r="P185" s="323"/>
      <c r="Q185" s="323"/>
      <c r="R185" s="323"/>
      <c r="S185" s="323"/>
      <c r="T185" s="323"/>
      <c r="U185" s="323"/>
      <c r="V185" s="323"/>
    </row>
    <row r="186" spans="6:22" ht="12.75">
      <c r="F186" s="330" t="s">
        <v>240</v>
      </c>
      <c r="G186" s="331">
        <f>G185*14</f>
        <v>0</v>
      </c>
      <c r="I186" s="330" t="s">
        <v>240</v>
      </c>
      <c r="J186" s="331">
        <f>J185*14</f>
        <v>0</v>
      </c>
      <c r="K186" s="115"/>
      <c r="L186" s="313"/>
      <c r="M186" s="323"/>
      <c r="N186" s="323"/>
      <c r="O186" s="323"/>
      <c r="P186" s="323"/>
      <c r="Q186" s="323"/>
      <c r="R186" s="323"/>
      <c r="S186" s="323"/>
      <c r="T186" s="323"/>
      <c r="U186" s="323"/>
      <c r="V186" s="323"/>
    </row>
    <row r="187" spans="11:22" ht="12.75">
      <c r="K187" s="115"/>
      <c r="L187" s="313"/>
      <c r="M187" s="323"/>
      <c r="N187" s="323"/>
      <c r="O187" s="323"/>
      <c r="P187" s="323"/>
      <c r="Q187" s="323"/>
      <c r="R187" s="323"/>
      <c r="S187" s="323"/>
      <c r="T187" s="323"/>
      <c r="U187" s="323"/>
      <c r="V187" s="323"/>
    </row>
    <row r="188" spans="3:22" ht="12.75">
      <c r="C188" s="297"/>
      <c r="D188" s="297"/>
      <c r="E188" s="297"/>
      <c r="F188" s="330" t="s">
        <v>241</v>
      </c>
      <c r="G188" s="331">
        <f>ROUND(IF(I164/14&gt;AD27,((VLOOKUP(I164/14,AD27:AG29,3,TRUE)*I164/14)-VLOOKUP(I164/14,AD27:AG29,4))+((VLOOKUP(I164/14,AD35:AG37,3,TRUE)*I164/14)-VLOOKUP(I164/14,AD35:AG37,4)),0),2)</f>
        <v>0</v>
      </c>
      <c r="H188" s="297"/>
      <c r="I188" s="330" t="s">
        <v>241</v>
      </c>
      <c r="J188" s="331">
        <f>ROUND(IF(I174/14&gt;AD27,((VLOOKUP(I174/14,AD27:AG29,3,TRUE)*I174/14)-VLOOKUP(I174/14,AD27:AG29,4))+((VLOOKUP(I174/14,AD35:AG37,3,TRUE)*I174/14)-VLOOKUP(I174/14,AD35:AG37,4)),0),2)</f>
        <v>0</v>
      </c>
      <c r="K188" s="115"/>
      <c r="L188" s="115"/>
      <c r="M188" s="323"/>
      <c r="N188" s="323"/>
      <c r="O188" s="323"/>
      <c r="P188" s="323"/>
      <c r="Q188" s="323"/>
      <c r="R188" s="323"/>
      <c r="S188" s="323"/>
      <c r="T188" s="323"/>
      <c r="U188" s="323"/>
      <c r="V188" s="323"/>
    </row>
    <row r="189" spans="3:22" ht="12.75">
      <c r="C189" s="297"/>
      <c r="D189" s="297"/>
      <c r="E189" s="332"/>
      <c r="F189" s="330" t="s">
        <v>242</v>
      </c>
      <c r="G189" s="331">
        <f>G188*14</f>
        <v>0</v>
      </c>
      <c r="H189" s="332"/>
      <c r="I189" s="330" t="s">
        <v>242</v>
      </c>
      <c r="J189" s="331">
        <f>J188*14</f>
        <v>0</v>
      </c>
      <c r="K189" s="115"/>
      <c r="L189" s="115"/>
      <c r="M189" s="323"/>
      <c r="N189" s="323"/>
      <c r="O189" s="323"/>
      <c r="P189" s="323"/>
      <c r="Q189" s="323"/>
      <c r="R189" s="323"/>
      <c r="S189" s="323"/>
      <c r="T189" s="323"/>
      <c r="U189" s="323"/>
      <c r="V189" s="323"/>
    </row>
    <row r="190" spans="3:22" ht="12.75">
      <c r="C190" s="297"/>
      <c r="D190" s="297"/>
      <c r="E190" s="332"/>
      <c r="F190" s="328"/>
      <c r="G190" s="328"/>
      <c r="H190" s="332"/>
      <c r="I190" s="328"/>
      <c r="J190" s="328"/>
      <c r="K190" s="115"/>
      <c r="L190" s="115"/>
      <c r="M190" s="323"/>
      <c r="N190" s="323"/>
      <c r="O190" s="323"/>
      <c r="P190" s="323"/>
      <c r="Q190" s="323"/>
      <c r="R190" s="323"/>
      <c r="S190" s="323"/>
      <c r="T190" s="323"/>
      <c r="U190" s="323"/>
      <c r="V190" s="323"/>
    </row>
    <row r="191" spans="3:22" ht="12.75">
      <c r="C191" s="297"/>
      <c r="D191" s="297"/>
      <c r="E191" s="333"/>
      <c r="F191" s="334" t="s">
        <v>243</v>
      </c>
      <c r="G191" s="331">
        <f>IF(H164&lt;=4104,H164,IF(AND(H164&gt;4104,H164&lt;22500),4104,IF((4104-(H164-22500)*0.2)&gt;0,(4104-(H164-22500)*0.2),0)))</f>
        <v>0</v>
      </c>
      <c r="H191" s="333"/>
      <c r="I191" s="334" t="s">
        <v>243</v>
      </c>
      <c r="J191" s="331">
        <f>IF(H171&lt;=4104,H171,IF(AND(H171&gt;4104,H171&lt;22500),4104,IF((4104-(H171-22500)*0.2)&gt;0,(4104-(H171-22500)*0.2),0)))</f>
        <v>0</v>
      </c>
      <c r="K191" s="115"/>
      <c r="L191" s="115"/>
      <c r="M191" s="323"/>
      <c r="N191" s="323"/>
      <c r="O191" s="323"/>
      <c r="P191" s="323"/>
      <c r="Q191" s="323"/>
      <c r="R191" s="323"/>
      <c r="S191" s="323"/>
      <c r="T191" s="323"/>
      <c r="U191" s="323"/>
      <c r="V191" s="323"/>
    </row>
    <row r="192" spans="3:22" ht="12.75">
      <c r="C192" s="297"/>
      <c r="D192" s="297"/>
      <c r="E192" s="333"/>
      <c r="F192" s="334" t="s">
        <v>244</v>
      </c>
      <c r="G192" s="331">
        <f>IF(I164&lt;=4104,I164,IF(AND(I164&gt;4104,I164&lt;22500),4104,IF((4104-(I164-22500)*0.2)&gt;0,(4104-(I164-22500)*0.2),0)))</f>
        <v>0</v>
      </c>
      <c r="H192" s="333"/>
      <c r="I192" s="334" t="s">
        <v>244</v>
      </c>
      <c r="J192" s="331">
        <f>IF(I171&lt;=4104,I171,IF(AND(I171&gt;4104,I171&lt;22500),4104,IF((4104-(I171-22500)*0.2)&gt;0,(4104-(I171-22500)*0.2),0)))</f>
        <v>0</v>
      </c>
      <c r="K192" s="115"/>
      <c r="L192" s="115"/>
      <c r="M192" s="323"/>
      <c r="N192" s="323"/>
      <c r="O192" s="323"/>
      <c r="P192" s="323"/>
      <c r="Q192" s="323"/>
      <c r="R192" s="323"/>
      <c r="S192" s="323"/>
      <c r="T192" s="323"/>
      <c r="U192" s="323"/>
      <c r="V192" s="323"/>
    </row>
    <row r="193" spans="3:22" ht="12.75">
      <c r="C193" s="297"/>
      <c r="D193" s="297"/>
      <c r="E193" s="333"/>
      <c r="F193" s="333"/>
      <c r="G193" s="333"/>
      <c r="H193" s="333"/>
      <c r="I193" s="333"/>
      <c r="J193" s="333"/>
      <c r="K193" s="115"/>
      <c r="L193" s="115"/>
      <c r="M193" s="323"/>
      <c r="N193" s="323"/>
      <c r="O193" s="323"/>
      <c r="P193" s="323"/>
      <c r="Q193" s="323"/>
      <c r="R193" s="323"/>
      <c r="S193" s="323"/>
      <c r="T193" s="323"/>
      <c r="U193" s="323"/>
      <c r="V193" s="323"/>
    </row>
    <row r="194" spans="3:22" ht="12.75">
      <c r="C194" s="297"/>
      <c r="D194" s="297"/>
      <c r="E194" s="335"/>
      <c r="F194" s="335"/>
      <c r="G194" s="335"/>
      <c r="H194" s="335"/>
      <c r="I194" s="335"/>
      <c r="J194" s="335"/>
      <c r="K194" s="115"/>
      <c r="L194" s="115"/>
      <c r="M194" s="323"/>
      <c r="N194" s="323"/>
      <c r="O194" s="323"/>
      <c r="P194" s="323"/>
      <c r="Q194" s="323"/>
      <c r="R194" s="323"/>
      <c r="S194" s="323"/>
      <c r="T194" s="323"/>
      <c r="U194" s="323"/>
      <c r="V194" s="323"/>
    </row>
    <row r="195" spans="3:22" ht="12.75">
      <c r="C195" s="297"/>
      <c r="D195" s="297"/>
      <c r="E195" s="297"/>
      <c r="F195" s="297"/>
      <c r="G195" s="297"/>
      <c r="H195" s="297"/>
      <c r="I195" s="297"/>
      <c r="J195" s="297"/>
      <c r="K195" s="115"/>
      <c r="L195" s="115"/>
      <c r="M195" s="323"/>
      <c r="N195" s="323"/>
      <c r="O195" s="323"/>
      <c r="P195" s="323"/>
      <c r="Q195" s="323"/>
      <c r="R195" s="323"/>
      <c r="S195" s="323"/>
      <c r="T195" s="323"/>
      <c r="U195" s="323"/>
      <c r="V195" s="323"/>
    </row>
    <row r="196" spans="6:22" ht="14.25">
      <c r="F196" s="238" t="s">
        <v>245</v>
      </c>
      <c r="G196" s="112"/>
      <c r="H196" s="336">
        <f>IF(M196=1,(IF(M202=0,G198,IF(M202&lt;=2,(G199+(M200*G200)+(G201*M201)),G199+(M200*G203)+(M201*G204)))),0)+IF(M196=2,(IF(M202&lt;=2,G198*2+(M200*G200)+(M201*G201),G198*2+(M200*G203)+(M201*G204))),0)</f>
        <v>213.75</v>
      </c>
      <c r="I196" s="336">
        <f>IF(M196=1,(IF(M202=0,G198,IF(M202&lt;=2,(G199+(M200*G200)+(G201*M201)),G199+(M200*G203)+(M201*G204)))),0)+IF(M196=2,(IF(M202&lt;=2,G198*2+(M200*G200)+(M201*G201),G198*2+(M200*G203)+(M201*G204))),0)</f>
        <v>213.75</v>
      </c>
      <c r="J196" s="112"/>
      <c r="L196" s="337" t="s">
        <v>246</v>
      </c>
      <c r="M196" s="338">
        <f>C82</f>
        <v>1</v>
      </c>
      <c r="N196" s="112" t="s">
        <v>247</v>
      </c>
      <c r="O196" s="112"/>
      <c r="P196" s="323"/>
      <c r="Q196" s="323"/>
      <c r="R196" s="323"/>
      <c r="S196" s="323"/>
      <c r="T196" s="323"/>
      <c r="U196" s="323"/>
      <c r="V196" s="323"/>
    </row>
    <row r="197" spans="6:22" ht="12.75">
      <c r="F197" s="112"/>
      <c r="G197" s="112"/>
      <c r="H197" s="112"/>
      <c r="I197" s="112"/>
      <c r="J197" s="112"/>
      <c r="N197" s="112"/>
      <c r="O197" s="112"/>
      <c r="P197" s="323"/>
      <c r="Q197" s="323"/>
      <c r="R197" s="323"/>
      <c r="S197" s="323"/>
      <c r="T197" s="323"/>
      <c r="U197" s="323"/>
      <c r="V197" s="323"/>
    </row>
    <row r="198" spans="6:22" ht="12.75">
      <c r="F198" s="255" t="s">
        <v>248</v>
      </c>
      <c r="G198" s="336">
        <v>213.75</v>
      </c>
      <c r="H198" s="112"/>
      <c r="I198" s="339"/>
      <c r="J198" s="112"/>
      <c r="N198" s="112"/>
      <c r="O198" s="112"/>
      <c r="P198" s="323"/>
      <c r="Q198" s="323"/>
      <c r="R198" s="323"/>
      <c r="S198" s="323"/>
      <c r="T198" s="323"/>
      <c r="U198" s="323"/>
      <c r="V198" s="323"/>
    </row>
    <row r="199" spans="6:22" ht="14.25">
      <c r="F199" s="255" t="s">
        <v>249</v>
      </c>
      <c r="G199" s="336">
        <v>332.5</v>
      </c>
      <c r="H199" s="112"/>
      <c r="I199" s="339"/>
      <c r="J199" s="112"/>
      <c r="K199" s="337" t="s">
        <v>250</v>
      </c>
      <c r="L199" s="340"/>
      <c r="M199" s="340"/>
      <c r="N199" s="112"/>
      <c r="O199" s="112"/>
      <c r="P199" s="323"/>
      <c r="Q199" s="323"/>
      <c r="R199" s="323"/>
      <c r="S199" s="323"/>
      <c r="T199" s="323"/>
      <c r="U199" s="323"/>
      <c r="V199" s="323"/>
    </row>
    <row r="200" spans="6:22" ht="28.5">
      <c r="F200" s="255" t="s">
        <v>251</v>
      </c>
      <c r="G200" s="336">
        <v>427.5</v>
      </c>
      <c r="H200" s="112"/>
      <c r="I200" s="339"/>
      <c r="J200" s="112"/>
      <c r="K200" s="341" t="s">
        <v>252</v>
      </c>
      <c r="L200" s="342"/>
      <c r="M200" s="343">
        <f>'BIG SIMULATOR'!C83+0</f>
        <v>0</v>
      </c>
      <c r="N200" s="112"/>
      <c r="O200" s="112"/>
      <c r="P200" s="323"/>
      <c r="Q200" s="323"/>
      <c r="R200" s="323"/>
      <c r="S200" s="323"/>
      <c r="T200" s="323"/>
      <c r="U200" s="323"/>
      <c r="V200" s="323"/>
    </row>
    <row r="201" spans="6:15" ht="28.5">
      <c r="F201" s="255" t="s">
        <v>253</v>
      </c>
      <c r="G201" s="336">
        <v>213.75</v>
      </c>
      <c r="H201" s="112"/>
      <c r="I201" s="339"/>
      <c r="J201" s="112"/>
      <c r="K201" s="344" t="s">
        <v>254</v>
      </c>
      <c r="L201" s="345"/>
      <c r="M201" s="346">
        <f>'BIG SIMULATOR'!C84+0</f>
        <v>0</v>
      </c>
      <c r="N201" s="112"/>
      <c r="O201" s="112"/>
    </row>
    <row r="202" spans="6:15" ht="12.75" customHeight="1">
      <c r="F202" s="127" t="s">
        <v>255</v>
      </c>
      <c r="G202" s="347"/>
      <c r="H202" s="112"/>
      <c r="I202" s="339"/>
      <c r="J202" s="112"/>
      <c r="K202" s="344"/>
      <c r="L202" s="344"/>
      <c r="M202" s="343">
        <f>M200+M201</f>
        <v>0</v>
      </c>
      <c r="N202" s="112"/>
      <c r="O202" s="112"/>
    </row>
    <row r="203" spans="6:15" ht="12.75">
      <c r="F203" s="255" t="s">
        <v>251</v>
      </c>
      <c r="G203" s="336">
        <v>475</v>
      </c>
      <c r="H203" s="112"/>
      <c r="I203" s="339"/>
      <c r="J203" s="112"/>
      <c r="K203" s="339"/>
      <c r="N203" s="112"/>
      <c r="O203" s="112"/>
    </row>
    <row r="204" spans="6:15" ht="12.75">
      <c r="F204" s="255" t="s">
        <v>253</v>
      </c>
      <c r="G204" s="336">
        <v>237.5</v>
      </c>
      <c r="H204" s="112"/>
      <c r="I204" s="339"/>
      <c r="J204" s="112"/>
      <c r="K204" s="339"/>
      <c r="O204" s="340"/>
    </row>
    <row r="205" spans="11:13" ht="12.75">
      <c r="K205" s="115"/>
      <c r="L205" s="115"/>
      <c r="M205" s="115"/>
    </row>
    <row r="206" spans="11:13" ht="12.75">
      <c r="K206" s="115"/>
      <c r="L206" s="115"/>
      <c r="M206" s="115"/>
    </row>
    <row r="207" spans="11:13" ht="12.75">
      <c r="K207" s="115"/>
      <c r="L207" s="115"/>
      <c r="M207" s="115"/>
    </row>
    <row r="208" spans="11:13" ht="12.75">
      <c r="K208" s="115"/>
      <c r="L208" s="115"/>
      <c r="M208" s="115"/>
    </row>
    <row r="209" spans="11:13" ht="12.75">
      <c r="K209" s="115"/>
      <c r="L209" s="115"/>
      <c r="M209" s="115"/>
    </row>
    <row r="210" spans="11:13" ht="12.75">
      <c r="K210" s="115"/>
      <c r="L210" s="115"/>
      <c r="M210" s="115"/>
    </row>
    <row r="211" spans="6:13" ht="12.75">
      <c r="F211" s="131"/>
      <c r="G211" s="131"/>
      <c r="K211" s="115"/>
      <c r="L211" s="115"/>
      <c r="M211" s="115"/>
    </row>
    <row r="212" spans="11:13" ht="12.75">
      <c r="K212" s="115"/>
      <c r="L212" s="115"/>
      <c r="M212" s="115"/>
    </row>
    <row r="213" spans="11:13" ht="12.75">
      <c r="K213" s="115"/>
      <c r="L213" s="115"/>
      <c r="M213" s="115"/>
    </row>
    <row r="214" spans="11:13" ht="12.75">
      <c r="K214" s="115"/>
      <c r="L214" s="115"/>
      <c r="M214" s="115"/>
    </row>
    <row r="215" spans="11:13" ht="12.75" customHeight="1">
      <c r="K215" s="115"/>
      <c r="L215" s="115"/>
      <c r="M215" s="115"/>
    </row>
    <row r="216" spans="11:13" ht="12.75">
      <c r="K216" s="115"/>
      <c r="L216" s="115"/>
      <c r="M216" s="115"/>
    </row>
    <row r="217" spans="11:13" ht="12.75">
      <c r="K217" s="115"/>
      <c r="L217" s="115"/>
      <c r="M217" s="115"/>
    </row>
    <row r="218" spans="11:13" ht="12.75">
      <c r="K218" s="115"/>
      <c r="L218" s="115"/>
      <c r="M218" s="115"/>
    </row>
  </sheetData>
  <sheetProtection/>
  <mergeCells count="55">
    <mergeCell ref="E1:F1"/>
    <mergeCell ref="P7:Q8"/>
    <mergeCell ref="R7:R9"/>
    <mergeCell ref="S7:S9"/>
    <mergeCell ref="T7:T9"/>
    <mergeCell ref="U7:U9"/>
    <mergeCell ref="A10:I10"/>
    <mergeCell ref="AD10:AE10"/>
    <mergeCell ref="AD11:AE11"/>
    <mergeCell ref="P24:Q24"/>
    <mergeCell ref="AD24:AE24"/>
    <mergeCell ref="AD25:AE25"/>
    <mergeCell ref="P26:Q26"/>
    <mergeCell ref="T26:T28"/>
    <mergeCell ref="U26:U28"/>
    <mergeCell ref="P27:Q27"/>
    <mergeCell ref="AD32:AE32"/>
    <mergeCell ref="AD33:AE33"/>
    <mergeCell ref="AJ49:AK49"/>
    <mergeCell ref="AL49:AM51"/>
    <mergeCell ref="AN49:AO51"/>
    <mergeCell ref="AJ50:AK50"/>
    <mergeCell ref="AL52:AM52"/>
    <mergeCell ref="AN52:AO52"/>
    <mergeCell ref="AL53:AM53"/>
    <mergeCell ref="AN53:AO53"/>
    <mergeCell ref="AL54:AM54"/>
    <mergeCell ref="AN54:AO54"/>
    <mergeCell ref="AJ55:AK55"/>
    <mergeCell ref="AL55:AM57"/>
    <mergeCell ref="AN55:AO57"/>
    <mergeCell ref="AJ56:AK56"/>
    <mergeCell ref="AL58:AM58"/>
    <mergeCell ref="AN58:AO58"/>
    <mergeCell ref="AL59:AM59"/>
    <mergeCell ref="AN59:AO59"/>
    <mergeCell ref="AL60:AM60"/>
    <mergeCell ref="AN60:AO60"/>
    <mergeCell ref="C119:C124"/>
    <mergeCell ref="Y64:Z64"/>
    <mergeCell ref="Y71:Z71"/>
    <mergeCell ref="F81:G81"/>
    <mergeCell ref="J81:K81"/>
    <mergeCell ref="F82:G82"/>
    <mergeCell ref="J82:K82"/>
    <mergeCell ref="C127:C132"/>
    <mergeCell ref="C142:C147"/>
    <mergeCell ref="C149:C154"/>
    <mergeCell ref="C161:C167"/>
    <mergeCell ref="C171:C177"/>
    <mergeCell ref="C95:E95"/>
    <mergeCell ref="C97:F97"/>
    <mergeCell ref="C100:C103"/>
    <mergeCell ref="C105:C108"/>
    <mergeCell ref="C116:F116"/>
  </mergeCells>
  <dataValidations count="1">
    <dataValidation type="whole" operator="greaterThanOrEqual" allowBlank="1" showInputMessage="1" showErrorMessage="1" error="Numero de dependentes igual ou superior a zero" sqref="C85">
      <formula1>0</formula1>
    </dataValidation>
  </dataValidations>
  <printOptions/>
  <pageMargins left="0.7" right="0.7" top="0.75" bottom="0.75" header="0.3" footer="0.3"/>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PricewaterhouseCoopers</dc:creator>
  <cp:keywords/>
  <dc:description/>
  <cp:lastModifiedBy>Windows User</cp:lastModifiedBy>
  <cp:lastPrinted>2013-10-17T17:18:59Z</cp:lastPrinted>
  <dcterms:created xsi:type="dcterms:W3CDTF">2009-01-23T10:19:39Z</dcterms:created>
  <dcterms:modified xsi:type="dcterms:W3CDTF">2013-10-18T00:43:08Z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